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DieseArbeitsmappe" defaultThemeVersion="124226"/>
  <mc:AlternateContent xmlns:mc="http://schemas.openxmlformats.org/markup-compatibility/2006">
    <mc:Choice Requires="x15">
      <x15ac:absPath xmlns:x15ac="http://schemas.microsoft.com/office/spreadsheetml/2010/11/ac" url="https://assaobjektservice-my.sharepoint.com/personal/fiedler_assa_at/Documents/Dokumente/03 WK/Stundensatzkalkulation 2024/2025/"/>
    </mc:Choice>
  </mc:AlternateContent>
  <xr:revisionPtr revIDLastSave="204" documentId="13_ncr:1_{E022D675-BDA4-4EA2-B2EA-1A6647F84393}" xr6:coauthVersionLast="47" xr6:coauthVersionMax="47" xr10:uidLastSave="{91EDADAD-806A-4746-83B6-2D5A8E4F0EE4}"/>
  <workbookProtection workbookAlgorithmName="SHA-512" workbookHashValue="PzZH7NG/bLRxAETzVYE+GIPjbvHm+evmDZcOhSl9vQKcWWJBQbVSGUoiZVXRJQD0iarGRQB95ZASwo/f1OCf0A==" workbookSaltValue="4GIptsdkwbQZppiVk1LvFw==" workbookSpinCount="100000" lockStructure="1"/>
  <bookViews>
    <workbookView xWindow="-108" yWindow="-108" windowWidth="23256" windowHeight="13896" tabRatio="795" xr2:uid="{00000000-000D-0000-FFFF-FFFF00000000}"/>
  </bookViews>
  <sheets>
    <sheet name="Unternehmensdaten" sheetId="8" r:id="rId1"/>
    <sheet name="Kalkulation" sheetId="2" r:id="rId2"/>
    <sheet name="Übersicht LZ_NLZ" sheetId="3" r:id="rId3"/>
    <sheet name="Österreichische Werte" sheetId="5" r:id="rId4"/>
    <sheet name="KV Daten DFG 2025" sheetId="7" r:id="rId5"/>
    <sheet name="Statistische Daten" sheetId="1" r:id="rId6"/>
  </sheets>
  <definedNames>
    <definedName name="Bundesland">'Österreichische Werte'!$A$14:$A$22</definedName>
    <definedName name="_xlnm.Print_Area" localSheetId="1">Kalkulation!$A$1:$L$101</definedName>
    <definedName name="_xlnm.Print_Area" localSheetId="4">'KV Daten DFG 2025'!$A$1:$H$19</definedName>
    <definedName name="_xlnm.Print_Area" localSheetId="3">'Österreichische Werte'!$A$1:$I$53</definedName>
    <definedName name="_xlnm.Print_Area" localSheetId="5">'Statistische Daten'!$A$1:$D$36</definedName>
    <definedName name="_xlnm.Print_Area" localSheetId="2">'Übersicht LZ_NLZ'!$A$1:$H$70</definedName>
    <definedName name="_xlnm.Print_Area" localSheetId="0">Unternehmensdaten!$A$1:$C$77</definedName>
    <definedName name="DZ">'Österreichische Werte'!$A$13:$B$22</definedName>
    <definedName name="Feiertage">'Statistische Daten'!$A$2:$D$4</definedName>
    <definedName name="kalkulationswerte">'Statistische Daten'!$A$57:$F$65</definedName>
    <definedName name="Unternehmensart">'Statistische Daten'!$K$58:$K$62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5" l="1"/>
  <c r="E38" i="5"/>
  <c r="C22" i="5"/>
  <c r="C21" i="5"/>
  <c r="C20" i="5"/>
  <c r="C19" i="5"/>
  <c r="C18" i="5"/>
  <c r="C17" i="5"/>
  <c r="C16" i="5"/>
  <c r="C15" i="5"/>
  <c r="C14" i="5"/>
  <c r="S6" i="5"/>
  <c r="T6" i="5"/>
  <c r="Y6" i="5"/>
  <c r="Z6" i="5"/>
  <c r="AE6" i="5"/>
  <c r="AF6" i="5"/>
  <c r="AL6" i="5"/>
  <c r="AQ6" i="5"/>
  <c r="AR6" i="5"/>
  <c r="AW6" i="5"/>
  <c r="AX6" i="5"/>
  <c r="BC6" i="5"/>
  <c r="BD6" i="5"/>
  <c r="BI6" i="5"/>
  <c r="BJ6" i="5"/>
  <c r="BO6" i="5"/>
  <c r="BP6" i="5"/>
  <c r="BU6" i="5"/>
  <c r="BV6" i="5"/>
  <c r="S7" i="5"/>
  <c r="T7" i="5"/>
  <c r="Y7" i="5"/>
  <c r="Z7" i="5"/>
  <c r="AE7" i="5"/>
  <c r="AF7" i="5"/>
  <c r="AL7" i="5"/>
  <c r="AQ7" i="5"/>
  <c r="AR7" i="5"/>
  <c r="AW7" i="5"/>
  <c r="AX7" i="5"/>
  <c r="BC7" i="5"/>
  <c r="BD7" i="5"/>
  <c r="BI7" i="5"/>
  <c r="BJ7" i="5"/>
  <c r="BO7" i="5"/>
  <c r="BP7" i="5"/>
  <c r="BU7" i="5"/>
  <c r="BV7" i="5"/>
  <c r="S8" i="5"/>
  <c r="T8" i="5"/>
  <c r="Y8" i="5"/>
  <c r="Z8" i="5"/>
  <c r="AE8" i="5"/>
  <c r="AF8" i="5"/>
  <c r="AL8" i="5"/>
  <c r="AQ8" i="5"/>
  <c r="AR8" i="5"/>
  <c r="AW8" i="5"/>
  <c r="AX8" i="5"/>
  <c r="BC8" i="5"/>
  <c r="BD8" i="5"/>
  <c r="BI8" i="5"/>
  <c r="BJ8" i="5"/>
  <c r="BO8" i="5"/>
  <c r="BP8" i="5"/>
  <c r="BU8" i="5"/>
  <c r="BV8" i="5"/>
  <c r="E6" i="7"/>
  <c r="C87" i="5" l="1"/>
  <c r="C85" i="5"/>
  <c r="B87" i="5" l="1"/>
  <c r="I82" i="5"/>
  <c r="D85" i="5"/>
  <c r="E85" i="5"/>
  <c r="F85" i="5"/>
  <c r="G85" i="5"/>
  <c r="H85" i="5"/>
  <c r="I85" i="5"/>
  <c r="I87" i="5"/>
  <c r="N6" i="5" l="1"/>
  <c r="N7" i="5"/>
  <c r="N8" i="5"/>
  <c r="D36" i="8" l="1"/>
  <c r="D41" i="2" l="1"/>
  <c r="D18" i="2"/>
  <c r="D54" i="3"/>
  <c r="C54" i="3"/>
  <c r="D53" i="3"/>
  <c r="C53" i="3"/>
  <c r="C48" i="3"/>
  <c r="B41" i="8"/>
  <c r="C61" i="3"/>
  <c r="D51" i="3" l="1"/>
  <c r="C51" i="3"/>
  <c r="C47" i="3"/>
  <c r="D47" i="3"/>
  <c r="D46" i="3"/>
  <c r="C46" i="3"/>
  <c r="C45" i="3"/>
  <c r="D45" i="3"/>
  <c r="D44" i="3"/>
  <c r="C44" i="3"/>
  <c r="D40" i="2"/>
  <c r="D38" i="2"/>
  <c r="D36" i="2"/>
  <c r="D35" i="2"/>
  <c r="D34" i="2"/>
  <c r="D33" i="2"/>
  <c r="D17" i="2"/>
  <c r="D15" i="2"/>
  <c r="D11" i="2"/>
  <c r="D12" i="2"/>
  <c r="D13" i="2"/>
  <c r="D10" i="2"/>
  <c r="D9" i="2"/>
  <c r="B85" i="5"/>
  <c r="B44" i="5" l="1"/>
  <c r="G43" i="5"/>
  <c r="G44" i="5" l="1"/>
  <c r="G45" i="5" l="1"/>
  <c r="F2" i="7"/>
  <c r="F10" i="7"/>
  <c r="F9" i="7"/>
  <c r="F3" i="7"/>
  <c r="F4" i="7"/>
  <c r="F5" i="7"/>
  <c r="F6" i="7"/>
  <c r="F7" i="7"/>
  <c r="F12" i="7" l="1"/>
  <c r="D34" i="5"/>
  <c r="G46" i="5" l="1"/>
  <c r="E19" i="3" l="1"/>
  <c r="E18" i="3"/>
  <c r="B53" i="8" l="1"/>
  <c r="D26" i="8"/>
  <c r="B13" i="8"/>
  <c r="C50" i="8" l="1"/>
  <c r="D71" i="2" s="1"/>
  <c r="C47" i="8"/>
  <c r="C24" i="8"/>
  <c r="D69" i="2" s="1"/>
  <c r="C23" i="8"/>
  <c r="C38" i="8"/>
  <c r="C45" i="8"/>
  <c r="C33" i="8"/>
  <c r="D81" i="2" l="1"/>
  <c r="D80" i="2"/>
  <c r="K3" i="2"/>
  <c r="J3" i="2"/>
  <c r="I3" i="2"/>
  <c r="H3" i="2"/>
  <c r="G3" i="2"/>
  <c r="F3" i="2"/>
  <c r="G58" i="1" l="1"/>
  <c r="H59" i="1" l="1"/>
  <c r="D56" i="2" s="1"/>
  <c r="H66" i="1"/>
  <c r="D70" i="2" s="1"/>
  <c r="H62" i="1"/>
  <c r="H63" i="1"/>
  <c r="H60" i="1"/>
  <c r="C78" i="1" l="1"/>
  <c r="B75" i="1"/>
  <c r="B77" i="1" s="1"/>
  <c r="E36" i="5"/>
  <c r="E35" i="5"/>
  <c r="D36" i="5"/>
  <c r="D35" i="5"/>
  <c r="C34" i="5"/>
  <c r="E34" i="5" s="1"/>
  <c r="E33" i="5"/>
  <c r="D33" i="5"/>
  <c r="E65" i="5"/>
  <c r="B63" i="5"/>
  <c r="D63" i="5" s="1"/>
  <c r="F63" i="5" s="1"/>
  <c r="B62" i="5"/>
  <c r="D62" i="5" s="1"/>
  <c r="F62" i="5" s="1"/>
  <c r="B61" i="5"/>
  <c r="D61" i="5" s="1"/>
  <c r="F61" i="5" s="1"/>
  <c r="B60" i="5"/>
  <c r="D60" i="5" s="1"/>
  <c r="F60" i="5" s="1"/>
  <c r="B59" i="5"/>
  <c r="D59" i="5" s="1"/>
  <c r="F59" i="5" s="1"/>
  <c r="B58" i="5"/>
  <c r="B58" i="1"/>
  <c r="B64" i="1" s="1"/>
  <c r="H64" i="1" s="1"/>
  <c r="D68" i="2" s="1"/>
  <c r="B78" i="1" l="1"/>
  <c r="B79" i="1" s="1"/>
  <c r="C62" i="1" s="1"/>
  <c r="D58" i="5"/>
  <c r="F58" i="5" s="1"/>
  <c r="F65" i="5" s="1"/>
  <c r="E40" i="5" l="1"/>
  <c r="G40" i="5" s="1"/>
  <c r="F62" i="1"/>
  <c r="E62" i="1"/>
  <c r="D62" i="1"/>
  <c r="B17" i="8"/>
  <c r="D48" i="2" s="1"/>
  <c r="F31" i="1"/>
  <c r="G22" i="1"/>
  <c r="E60" i="1"/>
  <c r="F60" i="1" s="1"/>
  <c r="F61" i="1" s="1"/>
  <c r="H61" i="1" s="1"/>
  <c r="D60" i="1"/>
  <c r="E48" i="1"/>
  <c r="E31" i="1"/>
  <c r="D25" i="1"/>
  <c r="F58" i="1"/>
  <c r="F64" i="1" s="1"/>
  <c r="F49" i="1"/>
  <c r="F48" i="1"/>
  <c r="F40" i="1"/>
  <c r="F39" i="1"/>
  <c r="F33" i="1"/>
  <c r="F28" i="1"/>
  <c r="F25" i="1" s="1"/>
  <c r="E58" i="1"/>
  <c r="E64" i="1" s="1"/>
  <c r="E49" i="1"/>
  <c r="E40" i="1"/>
  <c r="E39" i="1"/>
  <c r="E33" i="1"/>
  <c r="E28" i="1"/>
  <c r="E30" i="1" s="1"/>
  <c r="D31" i="1"/>
  <c r="D58" i="1"/>
  <c r="D64" i="1" s="1"/>
  <c r="D49" i="1"/>
  <c r="D48" i="1"/>
  <c r="D40" i="1"/>
  <c r="D39" i="1"/>
  <c r="D33" i="1"/>
  <c r="D28" i="1"/>
  <c r="D30" i="1" s="1"/>
  <c r="C49" i="1"/>
  <c r="C48" i="1"/>
  <c r="C31" i="1"/>
  <c r="C58" i="1"/>
  <c r="C64" i="1" s="1"/>
  <c r="C40" i="1"/>
  <c r="C39" i="1"/>
  <c r="C33" i="1"/>
  <c r="C28" i="1"/>
  <c r="C21" i="1" s="1"/>
  <c r="B40" i="1"/>
  <c r="D27" i="1" l="1"/>
  <c r="F34" i="1"/>
  <c r="F38" i="1" s="1"/>
  <c r="F63" i="1"/>
  <c r="D63" i="1"/>
  <c r="E63" i="1"/>
  <c r="D19" i="1"/>
  <c r="B29" i="8"/>
  <c r="C29" i="8" s="1"/>
  <c r="D59" i="2" s="1"/>
  <c r="H40" i="5"/>
  <c r="E21" i="1"/>
  <c r="C25" i="1"/>
  <c r="D34" i="1"/>
  <c r="D38" i="1" s="1"/>
  <c r="D21" i="1"/>
  <c r="E27" i="1"/>
  <c r="C30" i="1"/>
  <c r="D23" i="1"/>
  <c r="C19" i="1"/>
  <c r="E23" i="1"/>
  <c r="C27" i="1"/>
  <c r="C34" i="1"/>
  <c r="C36" i="1" s="1"/>
  <c r="C51" i="1" s="1"/>
  <c r="C65" i="1" s="1"/>
  <c r="F50" i="1"/>
  <c r="E19" i="1"/>
  <c r="C23" i="1"/>
  <c r="E50" i="1"/>
  <c r="C50" i="1"/>
  <c r="D50" i="1"/>
  <c r="E25" i="1"/>
  <c r="F27" i="1"/>
  <c r="F23" i="1"/>
  <c r="F19" i="1"/>
  <c r="F30" i="1"/>
  <c r="F21" i="1"/>
  <c r="E34" i="1"/>
  <c r="F36" i="1"/>
  <c r="F51" i="1" s="1"/>
  <c r="F65" i="1" s="1"/>
  <c r="B31" i="1"/>
  <c r="B33" i="1"/>
  <c r="B28" i="1"/>
  <c r="B39" i="1"/>
  <c r="B49" i="1"/>
  <c r="B48" i="1"/>
  <c r="E29" i="1" l="1"/>
  <c r="C29" i="1"/>
  <c r="D29" i="1"/>
  <c r="B25" i="1"/>
  <c r="B23" i="1"/>
  <c r="B27" i="1"/>
  <c r="B21" i="1"/>
  <c r="B19" i="1"/>
  <c r="D36" i="1"/>
  <c r="D51" i="1" s="1"/>
  <c r="D65" i="1" s="1"/>
  <c r="C38" i="1"/>
  <c r="F29" i="1"/>
  <c r="E36" i="1"/>
  <c r="E51" i="1" s="1"/>
  <c r="E38" i="1"/>
  <c r="F52" i="1"/>
  <c r="C52" i="1"/>
  <c r="B50" i="1"/>
  <c r="B34" i="1"/>
  <c r="B37" i="1" s="1"/>
  <c r="E13" i="3"/>
  <c r="G13" i="3" s="1"/>
  <c r="E12" i="3"/>
  <c r="G12" i="3" s="1"/>
  <c r="D4" i="1"/>
  <c r="D3" i="1"/>
  <c r="D27" i="5"/>
  <c r="D26" i="2"/>
  <c r="D25" i="2"/>
  <c r="C40" i="3"/>
  <c r="E40" i="3" s="1"/>
  <c r="G19" i="3"/>
  <c r="G18" i="3"/>
  <c r="D5" i="3"/>
  <c r="D7" i="5"/>
  <c r="D8" i="5"/>
  <c r="D6" i="5"/>
  <c r="D52" i="3"/>
  <c r="C52" i="3"/>
  <c r="D16" i="2"/>
  <c r="D39" i="2" s="1"/>
  <c r="A49" i="2"/>
  <c r="F7" i="5" l="1"/>
  <c r="B43" i="8" s="1"/>
  <c r="C43" i="8" s="1"/>
  <c r="D57" i="2" s="1"/>
  <c r="D65" i="3" s="1"/>
  <c r="B29" i="1"/>
  <c r="D52" i="1"/>
  <c r="E65" i="1"/>
  <c r="E52" i="1"/>
  <c r="F53" i="1"/>
  <c r="F55" i="1" s="1"/>
  <c r="D53" i="1"/>
  <c r="D55" i="1" s="1"/>
  <c r="C53" i="1"/>
  <c r="C55" i="1" s="1"/>
  <c r="B36" i="1"/>
  <c r="B51" i="1" s="1"/>
  <c r="B65" i="1" s="1"/>
  <c r="H65" i="1" s="1"/>
  <c r="B38" i="1"/>
  <c r="G40" i="3"/>
  <c r="F54" i="1" l="1"/>
  <c r="E53" i="1"/>
  <c r="E55" i="1" s="1"/>
  <c r="D54" i="1"/>
  <c r="C54" i="1"/>
  <c r="B52" i="1"/>
  <c r="D14" i="2"/>
  <c r="D19" i="2" s="1"/>
  <c r="E54" i="1" l="1"/>
  <c r="B53" i="1"/>
  <c r="D82" i="2"/>
  <c r="A82" i="2" s="1"/>
  <c r="D37" i="2"/>
  <c r="D27" i="2"/>
  <c r="A28" i="2" s="1"/>
  <c r="A20" i="2"/>
  <c r="D42" i="2" l="1"/>
  <c r="A43" i="2" s="1"/>
  <c r="B54" i="1"/>
  <c r="B55" i="1"/>
  <c r="C53" i="8"/>
  <c r="D72" i="2" s="1"/>
  <c r="D68" i="3" l="1"/>
  <c r="D64" i="3"/>
  <c r="D55" i="3"/>
  <c r="C55" i="3"/>
  <c r="D49" i="3"/>
  <c r="C49" i="3"/>
  <c r="E5" i="3"/>
  <c r="F5" i="3" s="1"/>
  <c r="D73" i="2" l="1"/>
  <c r="A73" i="2" s="1"/>
  <c r="C56" i="3"/>
  <c r="D58" i="3"/>
  <c r="H5" i="3"/>
  <c r="G5" i="3" l="1"/>
  <c r="E11" i="3"/>
  <c r="G11" i="3" l="1"/>
  <c r="E14" i="3"/>
  <c r="E16" i="3" l="1"/>
  <c r="G14" i="3"/>
  <c r="G16" i="3" s="1"/>
  <c r="B34" i="8" l="1"/>
  <c r="E17" i="3" s="1"/>
  <c r="G17" i="3" s="1"/>
  <c r="G20" i="3" s="1"/>
  <c r="H17" i="3" s="1"/>
  <c r="E27" i="5"/>
  <c r="B40" i="8" s="1"/>
  <c r="C40" i="8" s="1"/>
  <c r="D58" i="2" s="1"/>
  <c r="E20" i="3" l="1"/>
  <c r="D66" i="3"/>
  <c r="D69" i="3" s="1"/>
  <c r="D60" i="2"/>
  <c r="A61" i="2" s="1"/>
  <c r="H13" i="3"/>
  <c r="G28" i="3"/>
  <c r="H19" i="3"/>
  <c r="H12" i="3"/>
  <c r="G21" i="3"/>
  <c r="H15" i="3"/>
  <c r="H18" i="3"/>
  <c r="F17" i="3" l="1"/>
  <c r="E28" i="3"/>
  <c r="E21" i="3"/>
  <c r="F12" i="3"/>
  <c r="F13" i="3"/>
  <c r="F19" i="3"/>
  <c r="F15" i="3"/>
  <c r="F18" i="3"/>
  <c r="G22" i="3"/>
  <c r="G24" i="3"/>
  <c r="G34" i="3"/>
  <c r="H28" i="3"/>
  <c r="G29" i="3"/>
  <c r="E24" i="3" l="1"/>
  <c r="E34" i="3"/>
  <c r="E22" i="3"/>
  <c r="E29" i="3"/>
  <c r="F28" i="3"/>
  <c r="B14" i="8" s="1"/>
  <c r="G30" i="3"/>
  <c r="G35" i="3"/>
  <c r="H35" i="3" s="1"/>
  <c r="H36" i="3" s="1"/>
  <c r="G57" i="3" s="1"/>
  <c r="H57" i="3" s="1"/>
  <c r="H40" i="3"/>
  <c r="G59" i="3" s="1"/>
  <c r="H59" i="3" s="1"/>
  <c r="E35" i="3" l="1"/>
  <c r="F35" i="3" s="1"/>
  <c r="F36" i="3" s="1"/>
  <c r="E30" i="3"/>
  <c r="F40" i="3"/>
  <c r="E59" i="3" s="1"/>
  <c r="F59" i="3" s="1"/>
  <c r="G36" i="3"/>
  <c r="G41" i="3" s="1"/>
  <c r="H41" i="3" s="1"/>
  <c r="H60" i="3"/>
  <c r="H61" i="3" l="1"/>
  <c r="B52" i="5" s="1"/>
  <c r="E36" i="3"/>
  <c r="D39" i="3" s="1"/>
  <c r="E4" i="2"/>
  <c r="H4" i="2" s="1"/>
  <c r="H28" i="2" s="1"/>
  <c r="H43" i="2" s="1"/>
  <c r="E57" i="3"/>
  <c r="F57" i="3" s="1"/>
  <c r="F60" i="3" s="1"/>
  <c r="H69" i="3"/>
  <c r="F69" i="3"/>
  <c r="D38" i="3" l="1"/>
  <c r="D40" i="3" s="1"/>
  <c r="E41" i="3"/>
  <c r="F41" i="3" s="1"/>
  <c r="E6" i="2"/>
  <c r="H6" i="2"/>
  <c r="H20" i="2" s="1"/>
  <c r="K4" i="2"/>
  <c r="K61" i="2" s="1"/>
  <c r="H49" i="2"/>
  <c r="G4" i="2"/>
  <c r="G28" i="2" s="1"/>
  <c r="G43" i="2" s="1"/>
  <c r="J4" i="2"/>
  <c r="J61" i="2" s="1"/>
  <c r="L4" i="2"/>
  <c r="L73" i="2" s="1"/>
  <c r="I4" i="2"/>
  <c r="I61" i="2" s="1"/>
  <c r="H73" i="2"/>
  <c r="F4" i="2"/>
  <c r="F6" i="2" s="1"/>
  <c r="F20" i="2" s="1"/>
  <c r="E20" i="2" s="1"/>
  <c r="H61" i="2"/>
  <c r="F61" i="3" l="1"/>
  <c r="B51" i="5" s="1"/>
  <c r="E22" i="2"/>
  <c r="J22" i="2" s="1"/>
  <c r="G6" i="2"/>
  <c r="G20" i="2" s="1"/>
  <c r="K6" i="2"/>
  <c r="K20" i="2" s="1"/>
  <c r="K28" i="2"/>
  <c r="K43" i="2" s="1"/>
  <c r="G49" i="2"/>
  <c r="G73" i="2"/>
  <c r="G61" i="2"/>
  <c r="I73" i="2"/>
  <c r="J6" i="2"/>
  <c r="J20" i="2" s="1"/>
  <c r="K73" i="2"/>
  <c r="I28" i="2"/>
  <c r="I43" i="2" s="1"/>
  <c r="F28" i="2"/>
  <c r="F49" i="2" s="1"/>
  <c r="E49" i="2" s="1"/>
  <c r="I6" i="2"/>
  <c r="I20" i="2" s="1"/>
  <c r="J28" i="2"/>
  <c r="J43" i="2" s="1"/>
  <c r="J73" i="2"/>
  <c r="L61" i="2"/>
  <c r="L28" i="2"/>
  <c r="L43" i="2" s="1"/>
  <c r="L6" i="2"/>
  <c r="L20" i="2" s="1"/>
  <c r="F73" i="2"/>
  <c r="E73" i="2" s="1"/>
  <c r="F61" i="2"/>
  <c r="E61" i="2" s="1"/>
  <c r="F62" i="3" l="1"/>
  <c r="F70" i="3" s="1"/>
  <c r="F22" i="2"/>
  <c r="K22" i="2"/>
  <c r="G22" i="2"/>
  <c r="H22" i="2"/>
  <c r="L22" i="2"/>
  <c r="I22" i="2"/>
  <c r="K49" i="2"/>
  <c r="H62" i="3"/>
  <c r="H70" i="3" s="1"/>
  <c r="J49" i="2"/>
  <c r="F43" i="2"/>
  <c r="E43" i="2" s="1"/>
  <c r="I49" i="2"/>
  <c r="E28" i="2"/>
  <c r="E30" i="2" s="1"/>
  <c r="K30" i="2" s="1"/>
  <c r="L49" i="2"/>
  <c r="H30" i="2" l="1"/>
  <c r="I30" i="2"/>
  <c r="F30" i="2"/>
  <c r="G30" i="2"/>
  <c r="E45" i="2"/>
  <c r="F45" i="2" s="1"/>
  <c r="L30" i="2"/>
  <c r="J30" i="2"/>
  <c r="E51" i="2" l="1"/>
  <c r="K51" i="2" s="1"/>
  <c r="K53" i="2" s="1"/>
  <c r="H45" i="2"/>
  <c r="L45" i="2"/>
  <c r="G45" i="2"/>
  <c r="I45" i="2"/>
  <c r="J45" i="2"/>
  <c r="K45" i="2"/>
  <c r="L51" i="2" l="1"/>
  <c r="L53" i="2" s="1"/>
  <c r="E63" i="2"/>
  <c r="G63" i="2" s="1"/>
  <c r="G65" i="2" s="1"/>
  <c r="J51" i="2"/>
  <c r="J53" i="2" s="1"/>
  <c r="I51" i="2"/>
  <c r="I53" i="2" s="1"/>
  <c r="G51" i="2"/>
  <c r="G53" i="2" s="1"/>
  <c r="F51" i="2"/>
  <c r="F53" i="2" s="1"/>
  <c r="H51" i="2"/>
  <c r="H53" i="2" s="1"/>
  <c r="I63" i="2" l="1"/>
  <c r="I65" i="2" s="1"/>
  <c r="F63" i="2"/>
  <c r="F65" i="2" s="1"/>
  <c r="J63" i="2"/>
  <c r="J65" i="2" s="1"/>
  <c r="K63" i="2"/>
  <c r="K65" i="2" s="1"/>
  <c r="D65" i="2"/>
  <c r="E75" i="2"/>
  <c r="K75" i="2" s="1"/>
  <c r="K77" i="2" s="1"/>
  <c r="K82" i="2" s="1"/>
  <c r="K101" i="2" s="1"/>
  <c r="H63" i="2"/>
  <c r="H65" i="2" s="1"/>
  <c r="L63" i="2"/>
  <c r="L65" i="2" s="1"/>
  <c r="L75" i="2" l="1"/>
  <c r="L77" i="2" s="1"/>
  <c r="L82" i="2" s="1"/>
  <c r="L110" i="2" s="1"/>
  <c r="H75" i="2"/>
  <c r="H77" i="2" s="1"/>
  <c r="H82" i="2" s="1"/>
  <c r="H112" i="2" s="1"/>
  <c r="F75" i="2"/>
  <c r="F77" i="2" s="1"/>
  <c r="F82" i="2" s="1"/>
  <c r="F101" i="2" s="1"/>
  <c r="G75" i="2"/>
  <c r="G77" i="2" s="1"/>
  <c r="G82" i="2" s="1"/>
  <c r="G102" i="2" s="1"/>
  <c r="K98" i="2"/>
  <c r="K93" i="2"/>
  <c r="K111" i="2"/>
  <c r="K103" i="2"/>
  <c r="K90" i="2"/>
  <c r="K97" i="2"/>
  <c r="K112" i="2"/>
  <c r="K96" i="2"/>
  <c r="K92" i="2"/>
  <c r="K107" i="2"/>
  <c r="K109" i="2"/>
  <c r="J75" i="2"/>
  <c r="J77" i="2" s="1"/>
  <c r="J82" i="2" s="1"/>
  <c r="J106" i="2" s="1"/>
  <c r="K110" i="2"/>
  <c r="K100" i="2"/>
  <c r="K91" i="2"/>
  <c r="K102" i="2"/>
  <c r="I75" i="2"/>
  <c r="I77" i="2" s="1"/>
  <c r="I82" i="2" s="1"/>
  <c r="I109" i="2" s="1"/>
  <c r="K99" i="2"/>
  <c r="K108" i="2"/>
  <c r="K106" i="2"/>
  <c r="G96" i="2" l="1"/>
  <c r="H99" i="2"/>
  <c r="H90" i="2"/>
  <c r="H96" i="2"/>
  <c r="H98" i="2"/>
  <c r="H102" i="2"/>
  <c r="G91" i="2"/>
  <c r="G90" i="2"/>
  <c r="G111" i="2"/>
  <c r="G93" i="2"/>
  <c r="G99" i="2"/>
  <c r="G100" i="2"/>
  <c r="G106" i="2"/>
  <c r="G97" i="2"/>
  <c r="G103" i="2"/>
  <c r="G98" i="2"/>
  <c r="G92" i="2"/>
  <c r="G109" i="2"/>
  <c r="I97" i="2"/>
  <c r="H97" i="2"/>
  <c r="H110" i="2"/>
  <c r="H91" i="2"/>
  <c r="H93" i="2"/>
  <c r="H106" i="2"/>
  <c r="H101" i="2"/>
  <c r="H109" i="2"/>
  <c r="I101" i="2"/>
  <c r="F90" i="2"/>
  <c r="G110" i="2"/>
  <c r="I90" i="2"/>
  <c r="I98" i="2"/>
  <c r="G108" i="2"/>
  <c r="I103" i="2"/>
  <c r="G112" i="2"/>
  <c r="I92" i="2"/>
  <c r="I100" i="2"/>
  <c r="I93" i="2"/>
  <c r="I108" i="2"/>
  <c r="I96" i="2"/>
  <c r="I102" i="2"/>
  <c r="L91" i="2"/>
  <c r="I91" i="2"/>
  <c r="H108" i="2"/>
  <c r="L112" i="2"/>
  <c r="I107" i="2"/>
  <c r="L108" i="2"/>
  <c r="L93" i="2"/>
  <c r="L92" i="2"/>
  <c r="H107" i="2"/>
  <c r="H103" i="2"/>
  <c r="H111" i="2"/>
  <c r="F108" i="2"/>
  <c r="F100" i="2"/>
  <c r="F109" i="2"/>
  <c r="F98" i="2"/>
  <c r="F112" i="2"/>
  <c r="H100" i="2"/>
  <c r="H92" i="2"/>
  <c r="I99" i="2"/>
  <c r="I106" i="2"/>
  <c r="G107" i="2"/>
  <c r="G101" i="2"/>
  <c r="L111" i="2"/>
  <c r="F107" i="2"/>
  <c r="F92" i="2"/>
  <c r="L109" i="2"/>
  <c r="F102" i="2"/>
  <c r="L90" i="2"/>
  <c r="L98" i="2"/>
  <c r="E82" i="2"/>
  <c r="E84" i="2" s="1"/>
  <c r="L84" i="2" s="1"/>
  <c r="L87" i="2" s="1"/>
  <c r="F99" i="2"/>
  <c r="L103" i="2"/>
  <c r="F111" i="2"/>
  <c r="L100" i="2"/>
  <c r="L97" i="2"/>
  <c r="F91" i="2"/>
  <c r="L106" i="2"/>
  <c r="L107" i="2"/>
  <c r="F103" i="2"/>
  <c r="L99" i="2"/>
  <c r="F96" i="2"/>
  <c r="F93" i="2"/>
  <c r="L102" i="2"/>
  <c r="L101" i="2"/>
  <c r="F110" i="2"/>
  <c r="L96" i="2"/>
  <c r="F97" i="2"/>
  <c r="F106" i="2"/>
  <c r="J91" i="2"/>
  <c r="I112" i="2"/>
  <c r="J90" i="2"/>
  <c r="J102" i="2"/>
  <c r="J109" i="2"/>
  <c r="J110" i="2"/>
  <c r="J96" i="2"/>
  <c r="J99" i="2"/>
  <c r="J103" i="2"/>
  <c r="I110" i="2"/>
  <c r="J107" i="2"/>
  <c r="J108" i="2"/>
  <c r="J100" i="2"/>
  <c r="J98" i="2"/>
  <c r="I111" i="2"/>
  <c r="J111" i="2"/>
  <c r="J101" i="2"/>
  <c r="J93" i="2"/>
  <c r="J112" i="2"/>
  <c r="J92" i="2"/>
  <c r="J97" i="2"/>
  <c r="J84" i="2" l="1"/>
  <c r="J87" i="2" s="1"/>
  <c r="I84" i="2"/>
  <c r="I87" i="2" s="1"/>
  <c r="K84" i="2"/>
  <c r="K87" i="2" s="1"/>
  <c r="F84" i="2"/>
  <c r="F87" i="2" s="1"/>
  <c r="G84" i="2"/>
  <c r="G87" i="2" s="1"/>
  <c r="H84" i="2"/>
  <c r="H8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B5" authorId="0" shapeId="0" xr:uid="{00000000-0006-0000-0000-000001000000}">
      <text>
        <r>
          <rPr>
            <sz val="9"/>
            <color indexed="81"/>
            <rFont val="Tahoma"/>
            <family val="2"/>
          </rPr>
          <t>Bitte geben Sie hier das Bundesland ein, in dem Ihr  Unternehmen die Dienstleistung durchführen möchte!</t>
        </r>
      </text>
    </comment>
    <comment ref="B9" authorId="0" shapeId="0" xr:uid="{00000000-0006-0000-0000-000002000000}">
      <text>
        <r>
          <rPr>
            <sz val="9"/>
            <color indexed="81"/>
            <rFont val="Tahoma"/>
            <family val="2"/>
          </rPr>
          <t>Bitte geben Sie hier den Umsatz des Betrachtungszeitraums ein:
Gesamtes Vorjahr (eventuell Planjahr)</t>
        </r>
      </text>
    </comment>
    <comment ref="B11" authorId="0" shapeId="0" xr:uid="{00000000-0006-0000-0000-000003000000}">
      <text>
        <r>
          <rPr>
            <sz val="9"/>
            <color indexed="81"/>
            <rFont val="Tahoma"/>
            <family val="2"/>
          </rPr>
          <t>Bitte geben Sie UNBEDINGT eine Gesamtmitarbeiteranzahl an!</t>
        </r>
      </text>
    </comment>
    <comment ref="B12" authorId="0" shapeId="0" xr:uid="{00000000-0006-0000-0000-000004000000}">
      <text>
        <r>
          <rPr>
            <sz val="9"/>
            <color indexed="81"/>
            <rFont val="Tahoma"/>
            <family val="2"/>
          </rPr>
          <t>Bitte geben Sie hier die Anzahl der Mitarbeiter Ihres Unternehmens an, die mehr als 25 Jahre im Unternehmen sind und daher Anspruch auf eine 6. Urlaubswoche haben.</t>
        </r>
      </text>
    </comment>
    <comment ref="B13" authorId="0" shapeId="0" xr:uid="{00000000-0006-0000-0000-000005000000}">
      <text>
        <r>
          <rPr>
            <sz val="9"/>
            <color indexed="81"/>
            <rFont val="Tahoma"/>
            <family val="2"/>
          </rPr>
          <t>Hier errechnet sich automatisch der prozentuelle Anteil Ihrer Mitarbeiter, die länger als 25 Jahr in Ihrem Unternehmen beschäftigt sind.</t>
        </r>
      </text>
    </comment>
    <comment ref="B14" authorId="0" shapeId="0" xr:uid="{00000000-0006-0000-0000-000006000000}">
      <text>
        <r>
          <rPr>
            <sz val="9"/>
            <color indexed="81"/>
            <rFont val="Tahoma"/>
            <family val="2"/>
          </rPr>
          <t>Hier errechnet sich automatisch Ihr unternehmensindividueller Aufschlag in % für die Nichtleistungszeiten. Es handelt sich hier um einen gewichteten Durchschnitt, der die Anzahl der über 25 Jahre im Unternehmen beschäftigten Mitarbeiter berücksichtigt.
(Dieser Wert liegt zwischen den Grenzen der Werte von F28 und H28 in der Tabelle Übersicht LZ_NLZ.)</t>
        </r>
      </text>
    </comment>
    <comment ref="B16" authorId="0" shapeId="0" xr:uid="{00000000-0006-0000-0000-000007000000}">
      <text>
        <r>
          <rPr>
            <sz val="9"/>
            <color indexed="81"/>
            <rFont val="Tahoma"/>
            <family val="2"/>
          </rPr>
          <t>Bitte geben Sie hier die Anzahl der Mitarbeiter in Ihrem Unternehmen ein, welche noch nach der Regelung der Abfertigung ALT beschäftigt sind (Eintritt vor 01.01.2003)</t>
        </r>
      </text>
    </comment>
    <comment ref="B17" authorId="0" shapeId="0" xr:uid="{00000000-0006-0000-0000-000008000000}">
      <text>
        <r>
          <rPr>
            <sz val="9"/>
            <color indexed="81"/>
            <rFont val="Tahoma"/>
            <family val="2"/>
          </rPr>
          <t>Hier errechnet sich automatisch Ihr unternehmensindividueller prozentaufschlag für Abfertigungsvorsorge errechnet aus Abfertigung neu und Abfertigung ALT im Verhältnis der jeweiligen Beschäftigungsverhältnisse</t>
        </r>
      </text>
    </comment>
    <comment ref="B19" authorId="0" shapeId="0" xr:uid="{00000000-0006-0000-0000-000009000000}">
      <text>
        <r>
          <rPr>
            <sz val="9"/>
            <color indexed="81"/>
            <rFont val="Tahoma"/>
            <family val="2"/>
          </rPr>
          <t>Wollen Sie die Berechnung mit der Anzahl der Feiertage im langjährigen Durchschnitt befüllen (empfohlen) oder mit der Anzahl der Feiertage im laufenden Jahr?</t>
        </r>
      </text>
    </comment>
    <comment ref="B23" authorId="0" shapeId="0" xr:uid="{00000000-0006-0000-0000-00000A000000}">
      <text>
        <r>
          <rPr>
            <sz val="9"/>
            <color indexed="81"/>
            <rFont val="Tahoma"/>
            <family val="2"/>
          </rPr>
          <t>Bitte geben Sie hier die Jahreskosten für Ihre Verbrauchsmaterialien (Reinigungschemie, Tücher, Mopbezüge usw. in EUR) ein.</t>
        </r>
      </text>
    </comment>
    <comment ref="B24" authorId="0" shapeId="0" xr:uid="{00000000-0006-0000-0000-00000B000000}">
      <text>
        <r>
          <rPr>
            <sz val="9"/>
            <color indexed="81"/>
            <rFont val="Tahoma"/>
            <family val="2"/>
          </rPr>
          <t>Bitte geben Sie hier die Jahreskosten für die von Ihnen angeschafften Maschinen und Geräte ein. Dies beinhaltet kleinere Gerätschaften (Systemwägen, Mopstangen, Eimer etc.) wie auch Einscheibenmaschinen, Waschautomaten und sonstige Maschinen inkl. AFA (Abschreibung für Abnutzung), Reparaturaufwand und geringwertige Wirtschaftsgüter.</t>
        </r>
      </text>
    </comment>
    <comment ref="B26" authorId="0" shapeId="0" xr:uid="{00000000-0006-0000-0000-00000C000000}">
      <text>
        <r>
          <rPr>
            <sz val="9"/>
            <color indexed="81"/>
            <rFont val="Tahoma"/>
            <family val="2"/>
          </rPr>
          <t>Bitte geben Sie hier Ihre unternehmensindividuellen Werte für die gesamten Jahreskosten für Sicherheitsfachkraft und Arbeitsmediziner ein.
Wenn Sie hier keinen individuellen Wert eingeben, wird automatisch mit dem auf Ihre Mitarbeiteranzahl hochgerechneten, kalkulatorischen Wert 
kalkuliert!</t>
        </r>
      </text>
    </comment>
    <comment ref="B27" authorId="0" shapeId="0" xr:uid="{00000000-0006-0000-0000-00000D000000}">
      <text>
        <r>
          <rPr>
            <sz val="9"/>
            <color indexed="81"/>
            <rFont val="Tahoma"/>
            <family val="2"/>
          </rPr>
          <t>Bitte geben Sie hier die gesamten Jahreskosten für Persönliche Schutzausrüstung ein.</t>
        </r>
      </text>
    </comment>
    <comment ref="B28" authorId="0" shapeId="0" xr:uid="{00000000-0006-0000-0000-00000E000000}">
      <text>
        <r>
          <rPr>
            <sz val="9"/>
            <color indexed="81"/>
            <rFont val="Tahoma"/>
            <family val="2"/>
          </rPr>
          <t>Bitte geben Sie hier die Gesamtjahreskosten für Arbeitskleidung in Ihrem Unternehmen ein.</t>
        </r>
      </text>
    </comment>
    <comment ref="B29" authorId="0" shapeId="0" xr:uid="{00000000-0006-0000-0000-00000F000000}">
      <text>
        <r>
          <rPr>
            <sz val="9"/>
            <color indexed="81"/>
            <rFont val="Tahoma"/>
            <family val="2"/>
          </rPr>
          <t>Hier errechnet sich der Wert für Ihre unternehmensindividuellen Kosten für Präventivdienste entweder unter Berücksichtigung Ihrer Eingabe oder basierend auf Ihrer Mitarbeiteranzahl gemäß dem kalkulatorischen Wert.</t>
        </r>
      </text>
    </comment>
    <comment ref="B32" authorId="0" shapeId="0" xr:uid="{00000000-0006-0000-0000-000010000000}">
      <text>
        <r>
          <rPr>
            <sz val="9"/>
            <color indexed="81"/>
            <rFont val="Tahoma"/>
            <family val="2"/>
          </rPr>
          <t>Bitte geben Sie UNBEDINGT eine aktuelle (Vorjahr) oder geplante Gesamt-Bruttolohnsumme für alle Arbeiter pro Jahr ein.</t>
        </r>
      </text>
    </comment>
    <comment ref="B33" authorId="0" shapeId="0" xr:uid="{00000000-0006-0000-0000-000011000000}">
      <text>
        <r>
          <rPr>
            <sz val="9"/>
            <color indexed="81"/>
            <rFont val="Tahoma"/>
            <family val="2"/>
          </rPr>
          <t>Bitte geben Sie hier die Gesamtjahressumme für Ihre Kranklöhne (Krankenentgelt) für alle Arbeiter ein.</t>
        </r>
      </text>
    </comment>
    <comment ref="B34" authorId="0" shapeId="0" xr:uid="{00000000-0006-0000-0000-000012000000}">
      <text>
        <r>
          <rPr>
            <sz val="9"/>
            <color indexed="81"/>
            <rFont val="Tahoma"/>
            <family val="2"/>
          </rPr>
          <t>Hier errechnet sich ein kalkulatorischer Wert für die Krankenstandstage pro Mitarbeiter pro Jahr basierend auf Ihren individuellen Lohn- und Kranklohnangaben.
Diesen Wert (Empfehlung: aufgerundet auf den nächsten ganzen Tag) können Sie für die Eingabe bei den Krankenstandstagen verwenden).</t>
        </r>
      </text>
    </comment>
    <comment ref="B36" authorId="0" shapeId="0" xr:uid="{00000000-0006-0000-0000-000013000000}">
      <text>
        <r>
          <rPr>
            <sz val="9"/>
            <color indexed="81"/>
            <rFont val="Tahoma"/>
            <family val="2"/>
          </rPr>
          <t>Bitte geben Sie hier einen tatsächlichen Wert aus Ihrem Unternehmen ein. Wenn Sie keinen Wert ermittelt haben, können Sie die Schätzung  "Krankenstand in Tagen (kalkulatorischer Wert)" aufgerundet auf den nächsten halben Tag eingeben, oder Sie lassen die Zelle frei, dann wird automatisch der österreichische Durchschnitt eingesetzt!</t>
        </r>
      </text>
    </comment>
    <comment ref="B37" authorId="0" shapeId="0" xr:uid="{00000000-0006-0000-0000-000014000000}">
      <text>
        <r>
          <rPr>
            <sz val="9"/>
            <color indexed="81"/>
            <rFont val="Tahoma"/>
            <family val="2"/>
          </rPr>
          <t>Bitte geben Sie hier die sonstigen Arbeitsverhinderungen in durchschnittlichen Tagen pro Mitarbeiter pro Jahr an (zB: Abwesenheit für Pflegefreistellungen, Arztbesuche, Behördenwege, etc.).</t>
        </r>
      </text>
    </comment>
    <comment ref="B38" authorId="0" shapeId="0" xr:uid="{00000000-0006-0000-0000-000015000000}">
      <text>
        <r>
          <rPr>
            <sz val="9"/>
            <color indexed="81"/>
            <rFont val="Tahoma"/>
            <family val="2"/>
          </rPr>
          <t>Bitte geben Sie hier die sonstigen Fehlzeiten in durchschnittlichen Tagen pro Mitarbeiter pro Jahr an (zB: Abwesenheit der Lehrlinge, Abwesenheit für Ausbildungszwecke (Schulungen, Seminare), nicht verrechenbare Einsatzzeiten etc.).</t>
        </r>
      </text>
    </comment>
    <comment ref="B40" authorId="0" shapeId="0" xr:uid="{00000000-0006-0000-0000-000018000000}">
      <text>
        <r>
          <rPr>
            <sz val="9"/>
            <color indexed="81"/>
            <rFont val="Tahoma"/>
            <family val="2"/>
          </rPr>
          <t>Hier errechnet sich aufgrund Ihrer Mitarbeiteranzahl der Wert für die verpflichtende Dienstgeberabgabe (DGA, U-Bahnsteuer) für Unternehmen, die Ihre Leistungen in Wien anbieten oder dort Ihren Unternehmenssitz haben.</t>
        </r>
      </text>
    </comment>
    <comment ref="B41" authorId="0" shapeId="0" xr:uid="{00000000-0006-0000-0000-000019000000}">
      <text>
        <r>
          <rPr>
            <sz val="9"/>
            <color indexed="81"/>
            <rFont val="Tahoma"/>
            <family val="2"/>
          </rPr>
          <t>Hier errechnet sich automatisch der Wert der aufgrund Ihrer Mitarbeiteranzahl benötigten begünstigten Behinderten im Unternehmen.</t>
        </r>
      </text>
    </comment>
    <comment ref="B42" authorId="0" shapeId="0" xr:uid="{00000000-0006-0000-0000-00001A000000}">
      <text>
        <r>
          <rPr>
            <sz val="9"/>
            <color indexed="81"/>
            <rFont val="Tahoma"/>
            <family val="2"/>
          </rPr>
          <t>Bitte geben Sie hier die Anzahl der von Ihnen beschäftigten begünstigt Behinderten ein.</t>
        </r>
      </text>
    </comment>
    <comment ref="B43" authorId="0" shapeId="0" xr:uid="{00000000-0006-0000-0000-00001B000000}">
      <text>
        <r>
          <rPr>
            <sz val="9"/>
            <color indexed="81"/>
            <rFont val="Tahoma"/>
            <family val="2"/>
          </rPr>
          <t>Hier errechnet sich automatisch Ihr unternehmensindividueller Näherungswert für die Behindertenausgleichstaxe basierend auf Ihrer Mitarbeiteranzahl, der Anzahl der benötigten begünstigt Behinderten und der Anzahl der von Ihrem Unternehmen beschäftigten begünstigt Behinderten.</t>
        </r>
      </text>
    </comment>
    <comment ref="B45" authorId="0" shapeId="0" xr:uid="{00000000-0006-0000-0000-00001C000000}">
      <text>
        <r>
          <rPr>
            <sz val="9"/>
            <color indexed="81"/>
            <rFont val="Tahoma"/>
            <family val="2"/>
          </rPr>
          <t>Bitte geben Sie hier Ihre gesamten Jahreskosten für Fahrtkostenersatz für alle Ihre Mitarbeiter in EUR ein.</t>
        </r>
      </text>
    </comment>
    <comment ref="B47" authorId="0" shapeId="0" xr:uid="{00000000-0006-0000-0000-00001D000000}">
      <text>
        <r>
          <rPr>
            <sz val="9"/>
            <color indexed="81"/>
            <rFont val="Tahoma"/>
            <family val="2"/>
          </rPr>
          <t>Bitte geben Sie hier Ihre jährlichen Gesamtkosten für (alle) Objektleiter (inkl. Lohn- oder Gehaltskosten mit Nebenkosten ein. Gegebenenfalls können Sie hier auch objektleiterbezogene Kosten (Mobiltelefone, Fahrzeuge inkl. Treibstoff, Versicherung etc.) hinzurechen. Diese wären dann allerdings bei den Sonstigen Kosten wegzulassen, damit es zu keiner Doppelerfassung kommt.</t>
        </r>
      </text>
    </comment>
    <comment ref="B50" authorId="0" shapeId="0" xr:uid="{00000000-0006-0000-0000-00001E000000}">
      <text>
        <r>
          <rPr>
            <sz val="9"/>
            <color indexed="81"/>
            <rFont val="Tahoma"/>
            <family val="2"/>
          </rPr>
          <t>Wenn Sie Filialen haben und diese kostenmässig berücksichtigen möchten (unterschiedliche Stundensätze für unterschiedliche Regionen):
Geben Sie hier bitte alle Kosten, welche durch eine eigenständige Filiale entstehen ein (Miete, Betriebskosten, Verbrauchsmaterialien, Personalkosten (inkl. gesetzlichen Nebenkosten) etc.).
Wenn Sie keine Fililalen haben, geben Sie keinen Wert ein.</t>
        </r>
      </text>
    </comment>
    <comment ref="B54" authorId="0" shapeId="0" xr:uid="{00000000-0006-0000-0000-00001F000000}">
      <text>
        <r>
          <rPr>
            <sz val="9"/>
            <color indexed="81"/>
            <rFont val="Tahoma"/>
            <family val="2"/>
          </rPr>
          <t>Bitte geben Sie entweder die gesamten sonstigen Kosten pro Jahr inkl. Abschreibungen Ihres Unternehmens bei "Gesamteingabe aller Kosten" ein oder schlüsseln Sie die Daten im Detail auf die Zeilen 59 bis 77 auf (empfohlen)!</t>
        </r>
      </text>
    </comment>
    <comment ref="A74" authorId="0" shapeId="0" xr:uid="{683A6FEE-2891-451A-95D5-6CF91E388FD8}">
      <text>
        <r>
          <rPr>
            <sz val="9"/>
            <color indexed="81"/>
            <rFont val="Segoe UI"/>
            <family val="2"/>
          </rPr>
          <t xml:space="preserve">alle sonstigen Kosten des Unternehmens wie zB auch:
AfA für Betriebs- und Geschäftsausstattung,
Firmenwertabschreibungen,
Wertberichtigungen,
Konzernumlagen,
etc.
</t>
        </r>
      </text>
    </comment>
    <comment ref="B76" authorId="0" shapeId="0" xr:uid="{00000000-0006-0000-0000-000020000000}">
      <text>
        <r>
          <rPr>
            <sz val="9"/>
            <color indexed="81"/>
            <rFont val="Tahoma"/>
            <family val="2"/>
          </rPr>
          <t>Ein Wert bis 0,5 % deutet auf ein sehr risikofreudiges Unternehmen hin, ein Wert ab 1,5 % auf ein risikoabgeneigtes Unternehmen!</t>
        </r>
      </text>
    </comment>
    <comment ref="B80" authorId="0" shapeId="0" xr:uid="{E5E16E69-836B-4DCD-9E10-215E692AFE30}">
      <text>
        <r>
          <rPr>
            <sz val="9"/>
            <color indexed="81"/>
            <rFont val="Segoe UI"/>
            <family val="2"/>
          </rPr>
          <t>Damit das Tool auch für andere Branchen nutzbar ist, kann man hier DFG deaktivieren. (Damit wird kein Beitrag zum Sozialfonds berechnet.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C27" authorId="0" shapeId="0" xr:uid="{00000000-0006-0000-0300-000001000000}">
      <text>
        <r>
          <rPr>
            <b/>
            <sz val="9"/>
            <color indexed="81"/>
            <rFont val="Tahoma"/>
            <family val="2"/>
          </rPr>
          <t>Peter Fiedler:</t>
        </r>
        <r>
          <rPr>
            <sz val="9"/>
            <color indexed="81"/>
            <rFont val="Tahoma"/>
            <family val="2"/>
          </rPr>
          <t xml:space="preserve">
Exakte Wochenanzahl inkl. Schaltjahr (52,18 Wo/Jahr)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C47" authorId="0" shapeId="0" xr:uid="{00000000-0006-0000-0500-000001000000}">
      <text>
        <r>
          <rPr>
            <b/>
            <sz val="9"/>
            <color indexed="81"/>
            <rFont val="Tahoma"/>
            <family val="2"/>
          </rPr>
          <t>Peter Fiedler:</t>
        </r>
        <r>
          <rPr>
            <sz val="9"/>
            <color indexed="81"/>
            <rFont val="Tahoma"/>
            <family val="2"/>
          </rPr>
          <t xml:space="preserve">
LG6</t>
        </r>
      </text>
    </comment>
    <comment ref="D47" authorId="0" shapeId="0" xr:uid="{00000000-0006-0000-0500-000002000000}">
      <text>
        <r>
          <rPr>
            <b/>
            <sz val="9"/>
            <color indexed="81"/>
            <rFont val="Tahoma"/>
            <family val="2"/>
          </rPr>
          <t>Peter Fiedler:</t>
        </r>
        <r>
          <rPr>
            <sz val="9"/>
            <color indexed="81"/>
            <rFont val="Tahoma"/>
            <family val="2"/>
          </rPr>
          <t xml:space="preserve">
LG6</t>
        </r>
      </text>
    </comment>
    <comment ref="E47" authorId="0" shapeId="0" xr:uid="{00000000-0006-0000-0500-000003000000}">
      <text>
        <r>
          <rPr>
            <b/>
            <sz val="9"/>
            <color indexed="81"/>
            <rFont val="Tahoma"/>
            <family val="2"/>
          </rPr>
          <t>Peter Fiedler:</t>
        </r>
        <r>
          <rPr>
            <sz val="9"/>
            <color indexed="81"/>
            <rFont val="Tahoma"/>
            <family val="2"/>
          </rPr>
          <t xml:space="preserve">
LG6</t>
        </r>
      </text>
    </comment>
    <comment ref="F47" authorId="0" shapeId="0" xr:uid="{00000000-0006-0000-0500-000004000000}">
      <text>
        <r>
          <rPr>
            <b/>
            <sz val="9"/>
            <color indexed="81"/>
            <rFont val="Tahoma"/>
            <family val="2"/>
          </rPr>
          <t>Peter Fiedler:</t>
        </r>
        <r>
          <rPr>
            <sz val="9"/>
            <color indexed="81"/>
            <rFont val="Tahoma"/>
            <family val="2"/>
          </rPr>
          <t xml:space="preserve">
LG6</t>
        </r>
      </text>
    </comment>
  </commentList>
</comments>
</file>

<file path=xl/sharedStrings.xml><?xml version="1.0" encoding="utf-8"?>
<sst xmlns="http://schemas.openxmlformats.org/spreadsheetml/2006/main" count="668" uniqueCount="494">
  <si>
    <t>Eingabeblatt für Unternehmensdaten</t>
  </si>
  <si>
    <t>Kranklöhne</t>
  </si>
  <si>
    <t>Name des Unternehmens</t>
  </si>
  <si>
    <t>Behindertenausgleichstaxe</t>
  </si>
  <si>
    <t>Werte Behindertenausgleichstaxe</t>
  </si>
  <si>
    <t>Werte Dienstgeberzuschlag</t>
  </si>
  <si>
    <t>Definition:</t>
  </si>
  <si>
    <t>Bundesland</t>
  </si>
  <si>
    <t>Burgenland</t>
  </si>
  <si>
    <t>Kärnten</t>
  </si>
  <si>
    <t>Niederösterreich</t>
  </si>
  <si>
    <t>Oberösterreich</t>
  </si>
  <si>
    <t>Salzburg</t>
  </si>
  <si>
    <t>Steiermark</t>
  </si>
  <si>
    <t>Tirol</t>
  </si>
  <si>
    <t>Vorarlberg</t>
  </si>
  <si>
    <t>Wien</t>
  </si>
  <si>
    <t>pro Mitarbeiter</t>
  </si>
  <si>
    <t>pro Woche</t>
  </si>
  <si>
    <t>pro Monat</t>
  </si>
  <si>
    <t>pro Jahr</t>
  </si>
  <si>
    <t>Ausgangsdaten</t>
  </si>
  <si>
    <t>Kal.Tage/Wo</t>
  </si>
  <si>
    <t>Arb.Zeit/Wo</t>
  </si>
  <si>
    <t>Arb.Tage/Wo</t>
  </si>
  <si>
    <t>Std./Mo</t>
  </si>
  <si>
    <t>LOHNNEBENKOSTENBERECHNUNG</t>
  </si>
  <si>
    <t>Ermittlung der Ø Anwesenheitszeit / Jahr</t>
  </si>
  <si>
    <t>Urlaubsdauer in Wochen</t>
  </si>
  <si>
    <t>AT</t>
  </si>
  <si>
    <t xml:space="preserve">Sonstige Verhinderungszeiten </t>
  </si>
  <si>
    <t>Std.</t>
  </si>
  <si>
    <t>Ø Anwesenheitszeit im Jahr pro Woche</t>
  </si>
  <si>
    <t>Nichtanwesenheitszeiten / Jahr</t>
  </si>
  <si>
    <t>Summe Sonderzahlung</t>
  </si>
  <si>
    <t>Sozialversicherungsbeiträge (AG-Anteil)</t>
  </si>
  <si>
    <t>in % auf LB</t>
  </si>
  <si>
    <t>in % auf SZ</t>
  </si>
  <si>
    <t>Pensionsversicherung</t>
  </si>
  <si>
    <t>Unfallversicherung</t>
  </si>
  <si>
    <t>Krankenversicherung</t>
  </si>
  <si>
    <t>Arbeitslosenversicherung und Zuschlag gem. IESG</t>
  </si>
  <si>
    <t>Wohnbauförderungsbeitrag</t>
  </si>
  <si>
    <t>Sonstige Sozialabgaben</t>
  </si>
  <si>
    <t>Kommunalsteuer</t>
  </si>
  <si>
    <t>Summe Sonstige Sozialabgaben</t>
  </si>
  <si>
    <t>*LB (=c))</t>
  </si>
  <si>
    <t>Summe Sozialabgaben auf Sonderzahlung</t>
  </si>
  <si>
    <t>*SZ (=d))</t>
  </si>
  <si>
    <t>Summe Sozialabgaben auf LB+SZ, 
bezogen auf AW (a)</t>
  </si>
  <si>
    <t>Nebenkosten (b+d+f+g+h)</t>
  </si>
  <si>
    <t>Zuschläge (Üst., Nacht, SEG, Infektion, FT/SO)</t>
  </si>
  <si>
    <t>Trennungszulage, Zehrgeld</t>
  </si>
  <si>
    <t>Fahrtkostenentschädigung</t>
  </si>
  <si>
    <t>Lohngruppe</t>
  </si>
  <si>
    <t>Bezeichnung</t>
  </si>
  <si>
    <t>Facharbeiter</t>
  </si>
  <si>
    <t>Sonderreiniger</t>
  </si>
  <si>
    <t>Hotelreinigung</t>
  </si>
  <si>
    <t>Hausbetreuer</t>
  </si>
  <si>
    <t xml:space="preserve">UHR Krankenhaus/Pflegeheim </t>
  </si>
  <si>
    <t>UHR (Büro, Industrie, …)</t>
  </si>
  <si>
    <t>Wo/Jahr</t>
  </si>
  <si>
    <t>Std/Jahr</t>
  </si>
  <si>
    <t>Arb.Tage/Jahr</t>
  </si>
  <si>
    <t xml:space="preserve">15 gesetzliche Feiertage </t>
  </si>
  <si>
    <t>Kal.Tage/Jahr</t>
  </si>
  <si>
    <t>Std./AT</t>
  </si>
  <si>
    <t>Kostenstruktur</t>
  </si>
  <si>
    <t>Fremdleistungen</t>
  </si>
  <si>
    <t>Präventivdienste (SFK, AM)</t>
  </si>
  <si>
    <t>Fahrtkostenersatz</t>
  </si>
  <si>
    <t>in % vom Lohn</t>
  </si>
  <si>
    <t>A</t>
  </si>
  <si>
    <t>Kollektivlohn</t>
  </si>
  <si>
    <t>B</t>
  </si>
  <si>
    <t>Summe Pos. B</t>
  </si>
  <si>
    <t>C</t>
  </si>
  <si>
    <t>Sozialabgaben</t>
  </si>
  <si>
    <t>Abfertigungsvorsorge</t>
  </si>
  <si>
    <t>Dienstgeberbeitrag (DB) Familienlastenausgleichsfonds</t>
  </si>
  <si>
    <t>Dienstgeberzuschlag (DZ)</t>
  </si>
  <si>
    <t>Summe Pos. C</t>
  </si>
  <si>
    <t>von Summe A + B</t>
  </si>
  <si>
    <t>Summe Pos. B + C</t>
  </si>
  <si>
    <t>D</t>
  </si>
  <si>
    <t>Sonderzahlungen</t>
  </si>
  <si>
    <t>Weihnachtsremuneration (WR)</t>
  </si>
  <si>
    <t xml:space="preserve">Urlaubszuschuss (UZ) </t>
  </si>
  <si>
    <t>Summe Pos. B + C + D</t>
  </si>
  <si>
    <t>E</t>
  </si>
  <si>
    <t>Arbeitslosenversicherung und IESG Zuschlag</t>
  </si>
  <si>
    <t>Summe Pos. E</t>
  </si>
  <si>
    <t>von Summe D</t>
  </si>
  <si>
    <t>Summe Pos. B + C + D + E</t>
  </si>
  <si>
    <t>Personaleinstandskosten</t>
  </si>
  <si>
    <t>F</t>
  </si>
  <si>
    <t>Fahrtkostenersatz DN</t>
  </si>
  <si>
    <t>Materialkosten (Roh-, Hilfs- und Betriebsstoffe)</t>
  </si>
  <si>
    <t>Objektleiterkosten</t>
  </si>
  <si>
    <t>Filialkosten</t>
  </si>
  <si>
    <t>Gemeinkosten</t>
  </si>
  <si>
    <t>Summe Pos. B + C + D + E + F</t>
  </si>
  <si>
    <t>G</t>
  </si>
  <si>
    <t>Risiko &amp; Gewinn</t>
  </si>
  <si>
    <t>Unternehmerrisiko</t>
  </si>
  <si>
    <t>Gewinn</t>
  </si>
  <si>
    <t>Summe Pos. G</t>
  </si>
  <si>
    <t>EUR/Std pro Lohngruppe</t>
  </si>
  <si>
    <t>LG1</t>
  </si>
  <si>
    <t>LG2</t>
  </si>
  <si>
    <t>LG3</t>
  </si>
  <si>
    <t>LG4</t>
  </si>
  <si>
    <t>LG5</t>
  </si>
  <si>
    <t>LG6</t>
  </si>
  <si>
    <t>Wohnbauförderung</t>
  </si>
  <si>
    <t>Sozialversicherungsbeiträge gesamt</t>
  </si>
  <si>
    <t>Sozialversicherungsabgaben und sonstige Sozialabgaben von A und B</t>
  </si>
  <si>
    <t>Sozialversicherungsabgaben und sonstige Sozialabgaben von D</t>
  </si>
  <si>
    <t>H</t>
  </si>
  <si>
    <t>Summe Pos. B + C + D + E + F + G</t>
  </si>
  <si>
    <t>Kalkulation für Stundenverrechnungssätze für Denkmal-, Fassaden- und Gebäudereiniger</t>
  </si>
  <si>
    <t>Basis für Zuschläge</t>
  </si>
  <si>
    <t>Auflösungsabgabe</t>
  </si>
  <si>
    <t>Anzahl Beendigungen des DV aus Eingabedaten aus dem Unternehmensdatenblatt</t>
  </si>
  <si>
    <t>Kosten für Präventivdienste (Arbeitsmediziner, SFK) und PSA (Gesamtkosten)</t>
  </si>
  <si>
    <t>Kosten für Arbeitnehmerschutz (Präventivdienste und PSA)</t>
  </si>
  <si>
    <t>Anzahl</t>
  </si>
  <si>
    <t>Kosten für Persönliche Schutzausrüstung (PSA)</t>
  </si>
  <si>
    <t>Abfertigungsvorsorge NEU</t>
  </si>
  <si>
    <t>Sonstige lohnbezogene Abgaben und Kosten</t>
  </si>
  <si>
    <t>Freie LV</t>
  </si>
  <si>
    <t>LV = Lohnvereinbarung</t>
  </si>
  <si>
    <t>von Summe A + B (Lohnsumme)</t>
  </si>
  <si>
    <t>Sonstige Kosten des Unternehmens</t>
  </si>
  <si>
    <t>Gerätekosten (AfA für Maschinen und Geräte, GeWiGü, Reparaturen)</t>
  </si>
  <si>
    <t>Summe Pos. H</t>
  </si>
  <si>
    <t>Summe Pos. B + C + D + E + F + G + H</t>
  </si>
  <si>
    <t>I</t>
  </si>
  <si>
    <t>Aufschlag auf Lohngruppe</t>
  </si>
  <si>
    <t>Summe Unternehmenskosten (= Stundensatz zur Vollkostendeckung)</t>
  </si>
  <si>
    <t>Stundenverrechnungssatz zu Vollkosten inkl. Gewinn</t>
  </si>
  <si>
    <t>Summe Pos. B + C + D + E + F + G + H + I</t>
  </si>
  <si>
    <t>Summe Pos. I</t>
  </si>
  <si>
    <t>DZ</t>
  </si>
  <si>
    <t>Jahr 2014</t>
  </si>
  <si>
    <t>Anzahl MA</t>
  </si>
  <si>
    <t>Quelle:</t>
  </si>
  <si>
    <t>weniger</t>
  </si>
  <si>
    <t>100 bis</t>
  </si>
  <si>
    <t>mehr als</t>
  </si>
  <si>
    <t>EUR/nebP/Mon</t>
  </si>
  <si>
    <t>nebP = nicht eingestellte begünstigte Person</t>
  </si>
  <si>
    <t>EUR/nebP/Jahr</t>
  </si>
  <si>
    <t>Quelle &amp; Definition:</t>
  </si>
  <si>
    <t>Schalttag jedes 4. Jahr (Ø 1/4 Kdtg)</t>
  </si>
  <si>
    <t>52 volle Wochen plus Rumpfwoche</t>
  </si>
  <si>
    <t>Arbeiter</t>
  </si>
  <si>
    <t>1. Ø Vertragliche Brutto-Jahresarbeitszeit</t>
  </si>
  <si>
    <t>3. Vertragliche Netto-Jahresarbeitszeit (1-2-2a)</t>
  </si>
  <si>
    <t>4. Urlaub</t>
  </si>
  <si>
    <t>5. Soll-Arbeitszeit / Jahr (3-4)</t>
  </si>
  <si>
    <t xml:space="preserve">6. Krankenstand </t>
  </si>
  <si>
    <t xml:space="preserve">7. Sonstige Verhinderungszeiten </t>
  </si>
  <si>
    <t>8. Anwesenheitszeit/Jahr (5-6-7-7a), Leistungszeit</t>
  </si>
  <si>
    <t>oder Std.</t>
  </si>
  <si>
    <t>oder Wo</t>
  </si>
  <si>
    <t>Vertragliche Brutto - Jahresarbeitszeit</t>
  </si>
  <si>
    <t>9. Summe Nichtanwesenheits-Zeiten/Jahr (2+2a+4+6+7+7a), Fehlzeiten, Ausfallzeiten</t>
  </si>
  <si>
    <t>EUR/Auflösung</t>
  </si>
  <si>
    <t>Urlaubsdauer</t>
  </si>
  <si>
    <t>5 Wochen</t>
  </si>
  <si>
    <t>6 Wochen</t>
  </si>
  <si>
    <t>Berechnung der Lohnnebenkosten (Arbeiter)</t>
  </si>
  <si>
    <t>a) Anwesenheitsentgelt; AW-Entgelt</t>
  </si>
  <si>
    <t>b) Nicht AW-Entgelt</t>
  </si>
  <si>
    <t>c) Laufende Bezüge (a+b)</t>
  </si>
  <si>
    <t>d) Sonderzahlungen/SZ</t>
  </si>
  <si>
    <t>Stunden</t>
  </si>
  <si>
    <t>% auf LB</t>
  </si>
  <si>
    <t>Weihnachtsremuneration (4,33 Wo)</t>
  </si>
  <si>
    <t>Urlaubszuschuss UZ (4,33 Wo)</t>
  </si>
  <si>
    <t>e) Direkte Arbeitskosten (c+d)</t>
  </si>
  <si>
    <t>f) Sozialabgaben</t>
  </si>
  <si>
    <t>Summe Sozialversicherungsbeiträge</t>
  </si>
  <si>
    <r>
      <t>Familienlastenausgleichfond (DG-Beitrag) (</t>
    </r>
    <r>
      <rPr>
        <b/>
        <sz val="11"/>
        <color theme="1"/>
        <rFont val="Calibri"/>
        <family val="2"/>
        <scheme val="minor"/>
      </rPr>
      <t>DB</t>
    </r>
    <r>
      <rPr>
        <sz val="11"/>
        <color theme="1"/>
        <rFont val="Calibri"/>
        <family val="2"/>
        <scheme val="minor"/>
      </rPr>
      <t>)</t>
    </r>
  </si>
  <si>
    <r>
      <t>Dienstgeberzuschlag **unterschiedlich (</t>
    </r>
    <r>
      <rPr>
        <b/>
        <sz val="11"/>
        <color theme="1"/>
        <rFont val="Calibri"/>
        <family val="2"/>
        <scheme val="minor"/>
      </rPr>
      <t>DZ</t>
    </r>
    <r>
      <rPr>
        <sz val="11"/>
        <color theme="1"/>
        <rFont val="Calibri"/>
        <family val="2"/>
        <scheme val="minor"/>
      </rPr>
      <t>)</t>
    </r>
  </si>
  <si>
    <t>Summe Sozialabgaben auf laufende Bezüge</t>
  </si>
  <si>
    <t>g) Abfertigungskosten NEU 1,53% auf LB (a + b) und SZ</t>
  </si>
  <si>
    <t>Dienstgeberabgabe/U-Bahnsteuer (nur in Wien)</t>
  </si>
  <si>
    <t>Summe Sonstige Nebenkosten</t>
  </si>
  <si>
    <t>h) Sonstige Nebenkosten</t>
  </si>
  <si>
    <t>g*) Kosten für Abfertigung alt (betriebsindividuell)</t>
  </si>
  <si>
    <t>Abfertigung NEU (5 Wo Url)</t>
  </si>
  <si>
    <t>Abfertigung NEU (6 Wo Url)</t>
  </si>
  <si>
    <t>auf Leistungslöhne, Nichtleistungslöhne und Sonderzahlungen bezogen auf Leistungslöhne</t>
  </si>
  <si>
    <t>2a. Zusätzl. arbeitsfreie Tage gem. KV</t>
  </si>
  <si>
    <t>Abfertigungsvorsorge alt und NEU</t>
  </si>
  <si>
    <t>Wo/Mon</t>
  </si>
  <si>
    <t>es fehlt</t>
  </si>
  <si>
    <t>Präventivdienste (Arbeitsmediziner, SFK)</t>
  </si>
  <si>
    <t>Werte für Pärventivdienste</t>
  </si>
  <si>
    <t>2 Angebote über Stundensätze als Berechnungsgrundlage</t>
  </si>
  <si>
    <t>Ansonsten Durchschnittswert (Statisktik)</t>
  </si>
  <si>
    <t>Brutto Lohnsumme (Leistungs- und Nichtleistungslöhne)</t>
  </si>
  <si>
    <t>Anzahl Mitarbeiter gesamt</t>
  </si>
  <si>
    <r>
      <rPr>
        <i/>
        <sz val="11"/>
        <color theme="1"/>
        <rFont val="Calibri"/>
        <family val="2"/>
        <scheme val="minor"/>
      </rPr>
      <t>Nebenkosten für Nichtanwesenheitszeiten</t>
    </r>
    <r>
      <rPr>
        <sz val="11"/>
        <color theme="1"/>
        <rFont val="Calibri"/>
        <family val="2"/>
        <scheme val="minor"/>
      </rPr>
      <t xml:space="preserve">
Feiertage, Urlaub, Krankenentgelt, sonstige Verhinderungen</t>
    </r>
  </si>
  <si>
    <t>Feiertage</t>
  </si>
  <si>
    <t>Zusätzl. arbeitsfreie Tage gem. KV</t>
  </si>
  <si>
    <t>langjähriger Durchschnitt</t>
  </si>
  <si>
    <t>Gesamt</t>
  </si>
  <si>
    <t>in %</t>
  </si>
  <si>
    <t>Materialaufwand</t>
  </si>
  <si>
    <t>Personalkosten</t>
  </si>
  <si>
    <t>Finanzierungskosten</t>
  </si>
  <si>
    <t>Summe Kosten</t>
  </si>
  <si>
    <t>Studie KMU-Forschung Austria - Beispielhafte Musterstundensatzkalkulation</t>
  </si>
  <si>
    <t>Umsatz</t>
  </si>
  <si>
    <t>Restliche Gemeinkosten</t>
  </si>
  <si>
    <t>Kosten in EUR</t>
  </si>
  <si>
    <t>Gemeinkosten in %/Umsatz</t>
  </si>
  <si>
    <t>Gemeinkosten in EUR/Std</t>
  </si>
  <si>
    <t>verrechenbare Stunden</t>
  </si>
  <si>
    <t>EPU Wien</t>
  </si>
  <si>
    <t>Summe Kosten in %</t>
  </si>
  <si>
    <t>Materialaufwand in %</t>
  </si>
  <si>
    <t>Fremdleistungen in %</t>
  </si>
  <si>
    <t>Personalkosten in %</t>
  </si>
  <si>
    <t>Sonstiger Aufwand</t>
  </si>
  <si>
    <t>Sonstiger Aufwand in %</t>
  </si>
  <si>
    <t>Materialkostenaufschlag verr</t>
  </si>
  <si>
    <t>Materialkostenaufschlag in EUR</t>
  </si>
  <si>
    <t>Gemeinkosten in %/Personalkosten</t>
  </si>
  <si>
    <t>Lohnnebenkosten gem Studie</t>
  </si>
  <si>
    <t>Diverse mögliche Zulagen</t>
  </si>
  <si>
    <t>Gewinnaufschlag</t>
  </si>
  <si>
    <t>Stundenlohn</t>
  </si>
  <si>
    <t>Lohnnebenkosten</t>
  </si>
  <si>
    <t>Zulagen</t>
  </si>
  <si>
    <t>Selbstkosten</t>
  </si>
  <si>
    <t>Stundensatz netto</t>
  </si>
  <si>
    <t>Sonstiger Aufwand in % von Personal</t>
  </si>
  <si>
    <t>Werte für Kalkulation</t>
  </si>
  <si>
    <t>Materialkosten/Personalkosten</t>
  </si>
  <si>
    <t>Stundenlohn inkl NLL</t>
  </si>
  <si>
    <t>Arbeitnehmerschutz</t>
  </si>
  <si>
    <t>17 Beschäftigte</t>
  </si>
  <si>
    <t>Gewinaufschlag auf PersKo</t>
  </si>
  <si>
    <t>70 Beschäftigte</t>
  </si>
  <si>
    <t>250 Beschäftigte</t>
  </si>
  <si>
    <t>510 Beschäftigte</t>
  </si>
  <si>
    <t>Dienstgeberabgabe (U-Bahnsteuer)</t>
  </si>
  <si>
    <t>Individueller % Aufschlag für Abfertigungsvorsorge</t>
  </si>
  <si>
    <t>Abfertigung ALT</t>
  </si>
  <si>
    <t>Jahre</t>
  </si>
  <si>
    <t>Monate</t>
  </si>
  <si>
    <t>%</t>
  </si>
  <si>
    <t>Wahrscheinlichkeit</t>
  </si>
  <si>
    <t>% AbfVS</t>
  </si>
  <si>
    <t>Fluktuationsabschlag</t>
  </si>
  <si>
    <t>Abfertigung Bezüge</t>
  </si>
  <si>
    <t>Personalkosten Brutto (ohne LNK!)</t>
  </si>
  <si>
    <t>Dienstgeberabgabe Ubahnsteuer (nur in Wien)</t>
  </si>
  <si>
    <t>Auflösungsabgabe in %</t>
  </si>
  <si>
    <t>generell dieser Wert, nur in Wien</t>
  </si>
  <si>
    <t>EUR/Jahr</t>
  </si>
  <si>
    <t>EUR/Std</t>
  </si>
  <si>
    <t>EUR/Jahr/MA</t>
  </si>
  <si>
    <t>SFK</t>
  </si>
  <si>
    <t>AM</t>
  </si>
  <si>
    <t>Schnitt SFK/MA/Jahr</t>
  </si>
  <si>
    <t>Schnitt AM/MA/Jahr</t>
  </si>
  <si>
    <t>Durchschnittl. Kosten/MA/Jahr</t>
  </si>
  <si>
    <t>ab 50 MA voller Wert, darunter halber Wert</t>
  </si>
  <si>
    <t>Kosten für Arbeitnehmerschutz (SFK, AM, PSA) in % von Bruttolohn</t>
  </si>
  <si>
    <t>Nichtleistungslöhne in %</t>
  </si>
  <si>
    <t>Fluktuation 40%</t>
  </si>
  <si>
    <t>Bruttolohnsumme 2014</t>
  </si>
  <si>
    <t>Beschäftigte in RG 2014</t>
  </si>
  <si>
    <t>Aufgelöste DV</t>
  </si>
  <si>
    <t>davon abgabenpflichtig</t>
  </si>
  <si>
    <t>abgabenpflichtig (70%)</t>
  </si>
  <si>
    <t>Auflöstungsabgabe</t>
  </si>
  <si>
    <t>Berechnung der Auflösungsabgabe im Gesamtschnitt der Branche (WKO vor Verhandlungen mit der Schiedskommission)</t>
  </si>
  <si>
    <t>Zehrgeld pro Tag</t>
  </si>
  <si>
    <t>Trennungszulage pro Tag</t>
  </si>
  <si>
    <t>Art des Unternehmens</t>
  </si>
  <si>
    <t>Daten für Kalkulation</t>
  </si>
  <si>
    <t>bis 17 Mitarbeiter</t>
  </si>
  <si>
    <t>bis 70 Mitarbeiter</t>
  </si>
  <si>
    <t>bis 250 Mitarbeiter</t>
  </si>
  <si>
    <t>Ein Personen Unternehmen</t>
  </si>
  <si>
    <t>IESG Zuschlag</t>
  </si>
  <si>
    <t>Jahr 2015</t>
  </si>
  <si>
    <t>angenommen Deine Matrix geht von A1 bis G19</t>
  </si>
  <si>
    <t>Suchbegriff 1 ( für die Spalte)= in D22</t>
  </si>
  <si>
    <t>Suchbegriff2 (für die zeile) = in D23</t>
  </si>
  <si>
    <t>dann sieht das so aus</t>
  </si>
  <si>
    <t>SVERWEIS(D22;A2:G19;VERGLEICH(D23;A1:G1;0);FALSCH)</t>
  </si>
  <si>
    <t>Sonstige Arbeitsverhinderungen in Arbeitstagen</t>
  </si>
  <si>
    <t>Tage</t>
  </si>
  <si>
    <t>Risiko</t>
  </si>
  <si>
    <t>Dienstgeberabgabe (U-Bahnsteuer; nur in Wien)</t>
  </si>
  <si>
    <t>Benötigte einzustellende begünstigt Behinderte</t>
  </si>
  <si>
    <t>davon eingestellt</t>
  </si>
  <si>
    <t>Wert für Kalk</t>
  </si>
  <si>
    <t>in % von Lohn</t>
  </si>
  <si>
    <t>Kosten für eine Filiale (Miete, Betriebskosen, Personal, Material, ..)</t>
  </si>
  <si>
    <t>Kosten für Arbeitskleidung</t>
  </si>
  <si>
    <t>Kosten für Objektleiter (Bruttokosten inkl. Nebenkosten pro Jahr)</t>
  </si>
  <si>
    <t>Maschinen &amp; Geräte (inkl. AFA, Reparaturaufwand, GeWiGü)</t>
  </si>
  <si>
    <t>Kostenstruktur (Kosten jeweils PRO JAHR)</t>
  </si>
  <si>
    <t>Reise und Fahrtkosten (nicht Fahrtkostenersatz)</t>
  </si>
  <si>
    <t>Telekommunikation &amp; EDV (Telefon, Internet, IT, …)</t>
  </si>
  <si>
    <t>Raummieten (Büro) inkl. Betriebskosten</t>
  </si>
  <si>
    <t>KfZ-Aufwand (Fuhrpark inkl. Finanzierungskosten, Leasing und Betrieb)</t>
  </si>
  <si>
    <t>Mietaufwand für Maschinen und Geräte</t>
  </si>
  <si>
    <t>Leasingaufwand (nicht für Fuhrpark)</t>
  </si>
  <si>
    <t>Provisionen an Dritte, Vermittlungsgebühren, Honorare</t>
  </si>
  <si>
    <t>Büromaterial und Drucksorten</t>
  </si>
  <si>
    <t>Fachliteratur und Zeitungen</t>
  </si>
  <si>
    <t>Werbung und Repräsentation (Marketing, Vertrieb, …)</t>
  </si>
  <si>
    <t>Versicherungen und Schadensfälle (Prämien und Schadenszahlungen)</t>
  </si>
  <si>
    <t>Mitgliedsbeiträge (Kammerumlage, sonstige Beiträge)</t>
  </si>
  <si>
    <t>Kosten für Vorabeiter</t>
  </si>
  <si>
    <t>Zinszahlungen</t>
  </si>
  <si>
    <t>Freiwilliger Sozialaufwand (zB Weihnachtsfeier, …)</t>
  </si>
  <si>
    <t>Detaileingabe:</t>
  </si>
  <si>
    <t>Gesamteingabe aller Kosten:</t>
  </si>
  <si>
    <t>Aus- und Weiterbildungskosten</t>
  </si>
  <si>
    <t>Gesamt-Umsatz in EUR/Jahr</t>
  </si>
  <si>
    <t>Unternehmensindividueller %-Aufschlag für NLZ</t>
  </si>
  <si>
    <t>davon Mitarbeiter &gt; 25 Jahre im Unternehmen (6 Wochen Urlaub)</t>
  </si>
  <si>
    <t>Anzahl der Mitarbeiter &gt; 25 Jahre im Unternehmen in %</t>
  </si>
  <si>
    <t>Anzahl Mitarbeiter in Abfertigung ALT</t>
  </si>
  <si>
    <t>Aufwendungen für Material und sonstige bezogene Leistungen</t>
  </si>
  <si>
    <t>Personalaufwand</t>
  </si>
  <si>
    <t>Krankenstandstage (Wert für Kalkulation)</t>
  </si>
  <si>
    <t>Krankenstand in Tagen (tatsächlicher kalkulatorischer Wert)</t>
  </si>
  <si>
    <t>Gewinnerwartung (in Prozent)</t>
  </si>
  <si>
    <t>Risikoaufschlag (Unternehmerisches Wagnis in Prozent)</t>
  </si>
  <si>
    <t>Fahrtkostenersatz (Gesamtsumme in EUR)</t>
  </si>
  <si>
    <t>Beratungs- und Prüfungsaufwand
(Steuerberatung, WP, RA, Unternehmensberatung, …)</t>
  </si>
  <si>
    <t>Verwaltungskosten (Gehälter Innendienst, inkl. GF) - Bruttokosten
inkl. Lohnnebenkosten</t>
  </si>
  <si>
    <t>Sonstige Fehlzeiten und nicht verrechenbare Einsatzzeiten</t>
  </si>
  <si>
    <t>7a. Sonstige Fehlzeiten (Berufsschulzeit - Lehrlinge, Ausbildungen, …)</t>
  </si>
  <si>
    <t>Steigerung 2015</t>
  </si>
  <si>
    <t>Steigerung 2016</t>
  </si>
  <si>
    <t>Jahr 2016</t>
  </si>
  <si>
    <t>Werte 2015</t>
  </si>
  <si>
    <t xml:space="preserve">Definition und Quelle: </t>
  </si>
  <si>
    <t>Wert 2015</t>
  </si>
  <si>
    <t>Wert 2014</t>
  </si>
  <si>
    <t>Definition und Quelle:</t>
  </si>
  <si>
    <t>Erhöhung zu 2014</t>
  </si>
  <si>
    <t>Erhöhung zu 2015</t>
  </si>
  <si>
    <t>Senkung des IESG Zuschlags von 0,45 % auf 0,35 % in BGBl II 2015/375 vom 24.11.2015</t>
  </si>
  <si>
    <t>Werte Sozialversicherung</t>
  </si>
  <si>
    <t>Betragsbestandteile</t>
  </si>
  <si>
    <t>Arbeitslosenversicherung</t>
  </si>
  <si>
    <t>Dienstgeberbeitrag (DB)</t>
  </si>
  <si>
    <t>Quelle (Aktuelle Werte):</t>
  </si>
  <si>
    <t>Anpasung</t>
  </si>
  <si>
    <t>ab 250 Mitarbeiter</t>
  </si>
  <si>
    <t>Krankenstand (Arbeiter)</t>
  </si>
  <si>
    <t>Unterschiedliche Werte veröffentlicht (Gesamtösterreich, Arbeiter, Angestellte, …)</t>
  </si>
  <si>
    <t>Jahr 2017</t>
  </si>
  <si>
    <t>zahlbar für MA bis 55 Jahre und nicht bei GFB</t>
  </si>
  <si>
    <t>Beitragsrechtliche Werte</t>
  </si>
  <si>
    <t>Wert 2016</t>
  </si>
  <si>
    <t>Erhöhung zu 2016</t>
  </si>
  <si>
    <t>Erhöhung im Durchschnitt über die Lohngruppen</t>
  </si>
  <si>
    <t>Steigerung 2017</t>
  </si>
  <si>
    <t>Steigerung 2018</t>
  </si>
  <si>
    <t>Jahr 2018</t>
  </si>
  <si>
    <t>https://www.wko.at/service/steuern/Zuschlag_zum_Dienstgeberbeitrag.html</t>
  </si>
  <si>
    <t>Höhe DZ 2018</t>
  </si>
  <si>
    <t>Wert 2017</t>
  </si>
  <si>
    <t>Erhöhung zu 2017</t>
  </si>
  <si>
    <t>Werte 2017</t>
  </si>
  <si>
    <t>Stand: 2018</t>
  </si>
  <si>
    <t>https://www.wko.at/service/steuern/Aktuelle_Werte_Lohnverrechnung.html</t>
  </si>
  <si>
    <t>Geändert durch: PF</t>
  </si>
  <si>
    <t>Steigerung 2019</t>
  </si>
  <si>
    <t>Jahr 2019</t>
  </si>
  <si>
    <t>Höhe DZ 2019</t>
  </si>
  <si>
    <t>Änderung DZ</t>
  </si>
  <si>
    <t>Maximum</t>
  </si>
  <si>
    <t>Minimum</t>
  </si>
  <si>
    <t>Wert 2018</t>
  </si>
  <si>
    <t>Erhöhung zu 2018</t>
  </si>
  <si>
    <t>Stand: 2019</t>
  </si>
  <si>
    <t>Unternehmensstandort/Ort der Leistungserbringung</t>
  </si>
  <si>
    <r>
      <t xml:space="preserve">Auflösungsabgabe - </t>
    </r>
    <r>
      <rPr>
        <sz val="11"/>
        <color rgb="FFFF0000"/>
        <rFont val="Calibri"/>
        <family val="2"/>
        <scheme val="minor"/>
      </rPr>
      <t>ENTFÄLLT ab 01.01.2020</t>
    </r>
  </si>
  <si>
    <t>Zuschläge im Reinigungsgewerbe gem. KV § 10:</t>
  </si>
  <si>
    <t>Nachtüberstunde an einem Wochentag (nicht Feiertag) (Abs. 7d)</t>
  </si>
  <si>
    <t>Zusammentreffen mehrerer Zuschläge gem. KV:</t>
  </si>
  <si>
    <t>Überstunde, 11. und 12. Stunde (Abs. 6c)
Nachtmehrarbeitsstunde 21 bis 6 Uhr (Abs. 7b)</t>
  </si>
  <si>
    <t>Nachtmehrarbeitsstunde bei neuerlichem Beginn (mind. 2 Std, Abs. 7c)
Nachtüberstunde 21 bis 6 Uhr, 11. und 12. Stunde (Abs. 7e)
Sonntagmehrarbeitsstunde (mind. 2 Std, Abs. 8b)</t>
  </si>
  <si>
    <t>Stunde inkl. Feiertagsüberstunde, 11. und 12. Stunde (mind. 2 Std; Abs. 10d)</t>
  </si>
  <si>
    <t>Nachtüberstunde bei neuerlichem Beginn (mind. 2 Std; Abs. 7f)
Sonntagüberstunde (mind. 2 Std; Abs. 8c)
Sonntagnachtstunde 21 Uhr bis 6 Uhr (mind. 2 Std; Abs. 9a)
Stunde inkl. Feiertagsmehrarbeitsstunde (mind. 2 Std; Abs. 10b)
Stunde inkl. Feiertagsarbeitsentgelt in der Nacht (mind. 2 Std; Abs. 11a)</t>
  </si>
  <si>
    <t>Sonntagnachtmehrarbeitsstunde bei neuerlichem Beginn (mind. 2 Std; Abs. 9c)
Sonntagnachtüberstunde (mind. 2 Std, Abs. 9d)
Sonntagnachtüberstunde, 11. und 12. Stunde (mind. 2 Std; Abs. 9e)
Sonntagnachtüberstunde bei neuerlichem Beginn (mind. 2 Std; Abs. 9f)
Sonntagnachtüberstunde bei neuerlichem Beginn, 11. und 12. Stunde (mind. 2 Std; Abs. 9g)
Stunde inkl. Feiertagsüberstunde (mind. 2 Std; Abs. 10c)
Stunde inkl. Feiertagsmehrarbeitsstunde in der Nacht (mind. 2 Std; Abs. 11b)</t>
  </si>
  <si>
    <t>Nachtüberstunde bei neuerlichem Beginn, 11. und 12. Stunde (mind. 2 Std; Abs. 7g)
Sonntagüberstunde, 11. und 12. Stunde (mind. 2 Std, Abs. 8d)
Sonntagnachtmehrarbeitsstunde 21 bis 6 Uhr (mind. 2 Std; Abs. 9b)</t>
  </si>
  <si>
    <t>Nur für Lohngruppe 3 (Hotelreinigung)</t>
  </si>
  <si>
    <t>Sonntagmehrarbeitsstunde (mind. 2 Std; Abs. 8e)</t>
  </si>
  <si>
    <t>Sonntagüberstunde (mind. 2 Std; Abs. 8f)
Sonntagnachtstunde 21 bis 6 Uhr  (mind. 2 Std; Abs. 9h)</t>
  </si>
  <si>
    <t>Sonntagüberstunde, 11. und 12. Stunde (mind. 2 Std; Abs. 8g)
Sonntagnachtmehrarbeitsstunde 21 bis 6 Uhr (mind. 2 Std; 9i)</t>
  </si>
  <si>
    <t>Sonntagnachtüberstunde bei neuerlichem Beginn, 11. und 12. Stunde (mind. 2 Std; Abs. 9n)</t>
  </si>
  <si>
    <t>Jahr 2020</t>
  </si>
  <si>
    <t>https://www.wko.at/service/steuern/Dienstgeberabgabe_der_Gemeinde_Wien_(DGA,_U-Bahn_Steuer).html</t>
  </si>
  <si>
    <t>Auflösungsabgabe - ENTFÄLLT AB 01.01.2020</t>
  </si>
  <si>
    <t>Wert 2019</t>
  </si>
  <si>
    <t xml:space="preserve">https://www.ris.bka.gv.at/Dokumente/BgblAuth/BGBLA_2019_II_356/BGBLA_2019_II_356.pdfsig </t>
  </si>
  <si>
    <t xml:space="preserve">https://www.ris.bka.gv.at/Dokumente/BgblAuth/BGBLA_2015_II_375/BGBLA_2015_II_375.pdf </t>
  </si>
  <si>
    <t>Senkung des IESG Zuschlags von 0,35 % auf 0,20 % in BGBl II 2019/356 vom 28.11.2019</t>
  </si>
  <si>
    <t>IESG (Insolvenz-Entgeltsicherungs-Gesetz) - seit 01.01.2020 neuerlich gesenkt</t>
  </si>
  <si>
    <t xml:space="preserve">2. Gesetzliche Feiertage </t>
  </si>
  <si>
    <t>Mehrarbeitsstunde (Abs. 6a)</t>
  </si>
  <si>
    <t xml:space="preserve">Überstunde (Abs. 6b)
Nachtstunde 21 bis 6 Uhr (Abs. 7a) </t>
  </si>
  <si>
    <t>Sonntagsnormalarbeitsstunde (mind. 2 Std; Abs. 8a)
Normalstunde inkl. Feiertagsarbeitsentgelt (mind. 2 Std; Abs. 10a)</t>
  </si>
  <si>
    <t>Stunde inkl. Feiertagsmehrarbeitsstunde in der Nacht bei neuerlichem Beginn (mind. 2 Std; Abs. 11c)
Stunde inkl. Feiertagsüberstunde in der Nacht (mind. 2 Std; Abs. 11d)</t>
  </si>
  <si>
    <t>Stunde inkl. Feiertagsüberstunde in der Nacht, 11. und 12. Stunde (mind. 2 Std; Abs. 11e)
Stunde inkl. Feiertagsüberstunde in der Nacht bei neuerlichem Beginn (mind. 2 Std; Abs. 11f)
Stunde inkl. Feiertagsüberstunde in der Nacht bei neuerlichem Beginn, 11. und 12. Stunde (mind. 2 Std; Abs. 11g)</t>
  </si>
  <si>
    <t>Sonntagnachtüberstunde 21 bis 6 Uhr (mind. 2 Std; Abs. 9k)</t>
  </si>
  <si>
    <t>Sonntagnachtmehrarbeitsstunde bei neuerlichem Beginn (mind. 2 Std; 9j)
Sonntagnachtüberstunde, 11. und 12. Stunde (mind. 2 Std; Abs. 9l)</t>
  </si>
  <si>
    <t>Sonntagnachtüberstunde bei neuerlichem Beginn (mind. 2 Std; Abs. 9m)</t>
  </si>
  <si>
    <t>Steigerung 2020</t>
  </si>
  <si>
    <t>und</t>
  </si>
  <si>
    <t>Jahr 2021</t>
  </si>
  <si>
    <t xml:space="preserve">https://www.wko.at/service/steuern/Dienstgeberbeitrag_zum_Familienlastenausgleichsfonds_(DB).html </t>
  </si>
  <si>
    <t>Stand: 2020 und 2021</t>
  </si>
  <si>
    <t>Sonstigen Kosten/Gemeinkosten, Risiko &amp; Gewinn:</t>
  </si>
  <si>
    <t>Steigerung 2021</t>
  </si>
  <si>
    <t>Jahr 2022</t>
  </si>
  <si>
    <t>Höhe DZ 2020 bis 2022</t>
  </si>
  <si>
    <t>LINK DEAKTIVIERT: https://www.usp.gv.at/Portal.Node/usp/public/content/mitarbeiter/beendigung_arbeitsverhaeltnis/aufloesungsabgabe/76735.html</t>
  </si>
  <si>
    <t>https://www.wko.at/service/arbeitsrecht-sozialrecht/Abfertigung_Alt.html</t>
  </si>
  <si>
    <t xml:space="preserve">Beitrag </t>
  </si>
  <si>
    <t>der Lohnsumme gem.</t>
  </si>
  <si>
    <t>§ 49 SVG</t>
  </si>
  <si>
    <t>Lohn, Sonderzahlungen, Prämien, Überstunden, Zulagen</t>
  </si>
  <si>
    <t>Quelle</t>
  </si>
  <si>
    <t>Werte bis 2015 und 2016</t>
  </si>
  <si>
    <t>Stand: 2022</t>
  </si>
  <si>
    <t>https://www.weka.at/arbeitsrecht/News/Senkung-des-IESG-Zuschlages-ab-1.1.2022</t>
  </si>
  <si>
    <t xml:space="preserve">https://www.ris.bka.gv.at/NormDokument.wxe?Abfrage=Bundesnormen&amp;Gesetzesnummer=10008147&amp;Artikel=&amp;Paragraf=49&amp;Anlage=&amp;Uebergangsrecht= </t>
  </si>
  <si>
    <t>https://www.wko.at/service/arbeitsrecht-sozialrecht/Leistungs-_und_beitragsrechtliche_Unterschiede_ASVG_-_GSVG.html</t>
  </si>
  <si>
    <t xml:space="preserve">https://www.wko.at/service/kollektivvertrag/kollektivvertrag-denkmal-fassaden-gebaeudereiniger-2022.html#heading_19 </t>
  </si>
  <si>
    <t>Schalter für DFG</t>
  </si>
  <si>
    <t>ja</t>
  </si>
  <si>
    <t>nein</t>
  </si>
  <si>
    <t>Materialkosten und sonstige bezogene Leistungen (Subunternehmerkosten)</t>
  </si>
  <si>
    <t>Beitrag zum Sozialfonds der DFG</t>
  </si>
  <si>
    <t>Veränderung zu VJ</t>
  </si>
  <si>
    <t>Sozialfonds der DFG (neu ab 01.01.2022) § 19 NEU Rahmen-KV DFG</t>
  </si>
  <si>
    <t>Ist das Unternehmen DFG oder Hausbetreuer?</t>
  </si>
  <si>
    <t>Sollte der Stundensatz ohne Infektionszulage benötigt werden, so ist dieser ident mit dem Stundensatz der Lohngruppe 6.</t>
  </si>
  <si>
    <t>Gefahrenzulage</t>
  </si>
  <si>
    <t>Bruttostundenlöhne (Lohngruppen)</t>
  </si>
  <si>
    <t>Steigerung 2022</t>
  </si>
  <si>
    <t>Steigerung 2023</t>
  </si>
  <si>
    <t>Jahr 2023</t>
  </si>
  <si>
    <t>Höhe DZ 2023</t>
  </si>
  <si>
    <t>Vorgesehen ist eine Infektionszulage (Gefahrenzulage) von EUR 0,20 pro Stunde, welche für die Kalkulation hier bereits mit berücksichtigt ist!</t>
  </si>
  <si>
    <t>Stand: 2023</t>
  </si>
  <si>
    <t>ANMERKUNG: Damit der DB schon jetzt auf 3,70 % reduziert werden kann, muss eine rechtzeitige interne Dokumentation erstellt werden!</t>
  </si>
  <si>
    <t>https://www.wko.at/service/steuern/senkung-des-dienstgeberbeitrags.html</t>
  </si>
  <si>
    <t xml:space="preserve">Quelle: </t>
  </si>
  <si>
    <t>https://www.sozialministeriumservice.at/Unternehmen/Beguenstigte_Behinderte/Ausgleichstaxe_und_Praemie/Ausgleichstaxe_und_Praemie.de.html</t>
  </si>
  <si>
    <t>https://www.wko.at/lohnverrechnung/kommunalsteuer</t>
  </si>
  <si>
    <r>
      <t>https://www.sozialversicherung.at/cdscontent/?contentid=10007.862683&amp;portal=svportal</t>
    </r>
    <r>
      <rPr>
        <sz val="11"/>
        <color rgb="FF0000FF"/>
        <rFont val="Calibri"/>
        <family val="2"/>
        <scheme val="minor"/>
      </rPr>
      <t xml:space="preserve"> und </t>
    </r>
    <r>
      <rPr>
        <u/>
        <sz val="11"/>
        <color rgb="FF0000FF"/>
        <rFont val="Calibri"/>
        <family val="2"/>
        <scheme val="minor"/>
      </rPr>
      <t>https://www.sozialversicherung.at/cdscontent/load?contentid=10008.784719&amp;version=1703166731</t>
    </r>
  </si>
  <si>
    <t xml:space="preserve">http://www.gesetzlichefeiertage.at/uebersicht/feiertage-2024.html und https://www.wko.at/service/kollektivvertrag/lohnnebenkosten-gebaeudereiniger-2023.pdf </t>
  </si>
  <si>
    <t>Durchschnittswerte Stand: 2024</t>
  </si>
  <si>
    <t>laufendes Jahr (2025)</t>
  </si>
  <si>
    <t>Bruttostundenlohn 2025</t>
  </si>
  <si>
    <t>Die Lohngruppe 5 (UHR Krankenhaus/Pflegeheim) war in 2024 mit einem Bruttostundenlohn von EUR 11,55 in gleicher Höhe wie die Lohngruppe 6 (UHR).</t>
  </si>
  <si>
    <t>in 2024 kam noch ein Zuschlag von 0,20 ct hinzu (siehe unten, tatsächliche Erhöhung 4,17%)</t>
  </si>
  <si>
    <t>Infektionszulage 2024</t>
  </si>
  <si>
    <t>https://www.wko.at/kollektivvertrag/lohnordnung-denkmal-fassaden-gebaeudereinigung-2025</t>
  </si>
  <si>
    <t>Version 2.14</t>
  </si>
  <si>
    <t>Jahr 2024</t>
  </si>
  <si>
    <t>Steigerung 2024</t>
  </si>
  <si>
    <t>Steigerung 2025</t>
  </si>
  <si>
    <t>Jahr 2025</t>
  </si>
  <si>
    <t>https://www.wko.at/entlohnung/arbeitsrechtliche-werte-2025</t>
  </si>
  <si>
    <t>Höhe DZ 2024</t>
  </si>
  <si>
    <t>Höhe DZ 2025</t>
  </si>
  <si>
    <t>https://www.wko.at/lohnverrechnung/zuschlag-hoehe-dienstgeberbeitrag</t>
  </si>
  <si>
    <t>Dienstgeberabgabe der Gemeinde Wien (DGA, U-Bahn Steuer) - WKO</t>
  </si>
  <si>
    <t>Werte U-Bahnsteuer/Wien 2025 (Wert seit 01.06.2012)</t>
  </si>
  <si>
    <t>2013 auf 2025 hochgerechnet</t>
  </si>
  <si>
    <t>Stand: 2024 und 2025</t>
  </si>
  <si>
    <t>https://www.wko.at/oe/gewerbe-handwerk/chemische-gewerbe/denkmal-fassade-gebaeude/lohnnebenkosten-gebauedereiniger-2025.pdf</t>
  </si>
  <si>
    <t>https://www.weka.at/news/Personal/Arbeitsrecht/Sozialversicherung-und-Abgaben-1175200</t>
  </si>
  <si>
    <t>Stand per 29.01.2025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</si>
</sst>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0.0%"/>
    <numFmt numFmtId="165" formatCode="0.0"/>
    <numFmt numFmtId="166" formatCode="_-[$€-C07]\ * #,##0.00_-;\-[$€-C07]\ * #,##0.00_-;_-[$€-C07]\ * &quot;-&quot;??_-;_-@_-"/>
    <numFmt numFmtId="167" formatCode="_-* #,##0.0000000000000000_-;\-* #,##0.0000000000000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0"/>
      <name val="Calibri"/>
      <family val="2"/>
      <scheme val="minor"/>
    </font>
    <font>
      <b/>
      <sz val="16"/>
      <name val="Calibri"/>
      <family val="2"/>
      <scheme val="minor"/>
    </font>
    <font>
      <sz val="10"/>
      <name val="Calibri"/>
      <family val="2"/>
      <scheme val="minor"/>
    </font>
    <font>
      <u/>
      <sz val="10"/>
      <name val="Calibri"/>
      <family val="2"/>
      <scheme val="minor"/>
    </font>
    <font>
      <b/>
      <sz val="14"/>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sz val="7"/>
      <color theme="1"/>
      <name val="Verdana"/>
      <family val="2"/>
    </font>
    <font>
      <b/>
      <sz val="11"/>
      <color rgb="FFFF0000"/>
      <name val="Calibri"/>
      <family val="2"/>
      <scheme val="minor"/>
    </font>
    <font>
      <u/>
      <sz val="11"/>
      <color theme="10"/>
      <name val="Calibri"/>
      <family val="2"/>
      <scheme val="minor"/>
    </font>
    <font>
      <sz val="11"/>
      <color rgb="FFFF0000"/>
      <name val="Calibri"/>
      <family val="2"/>
      <scheme val="minor"/>
    </font>
    <font>
      <b/>
      <i/>
      <sz val="11"/>
      <color theme="1"/>
      <name val="Calibri"/>
      <family val="2"/>
      <scheme val="minor"/>
    </font>
    <font>
      <sz val="9"/>
      <color indexed="81"/>
      <name val="Segoe UI"/>
      <family val="2"/>
    </font>
    <font>
      <sz val="8"/>
      <name val="Calibri"/>
      <family val="2"/>
      <scheme val="minor"/>
    </font>
    <font>
      <u/>
      <sz val="11"/>
      <color rgb="FF0000FF"/>
      <name val="Calibri"/>
      <family val="2"/>
      <scheme val="minor"/>
    </font>
    <font>
      <sz val="11"/>
      <color rgb="FF0000FF"/>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22"/>
        <bgColor indexed="64"/>
      </patternFill>
    </fill>
    <fill>
      <patternFill patternType="solid">
        <fgColor indexed="50"/>
        <bgColor indexed="64"/>
      </patternFill>
    </fill>
    <fill>
      <patternFill patternType="solid">
        <fgColor rgb="FF00FF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6" fillId="0" borderId="0" applyNumberFormat="0" applyFill="0" applyBorder="0" applyAlignment="0" applyProtection="0"/>
  </cellStyleXfs>
  <cellXfs count="281">
    <xf numFmtId="0" fontId="0" fillId="0" borderId="0" xfId="0"/>
    <xf numFmtId="0" fontId="2" fillId="0" borderId="0" xfId="0" applyFont="1"/>
    <xf numFmtId="0" fontId="0" fillId="3" borderId="0" xfId="0" applyFill="1"/>
    <xf numFmtId="0" fontId="3" fillId="0" borderId="0" xfId="0" applyFont="1"/>
    <xf numFmtId="43" fontId="0" fillId="0" borderId="0" xfId="1" applyFont="1" applyFill="1"/>
    <xf numFmtId="10" fontId="0" fillId="0" borderId="0" xfId="2" applyNumberFormat="1" applyFont="1" applyFill="1"/>
    <xf numFmtId="43" fontId="0" fillId="0" borderId="0" xfId="1" applyFont="1"/>
    <xf numFmtId="0" fontId="0" fillId="8" borderId="0" xfId="0" applyFill="1"/>
    <xf numFmtId="0" fontId="4" fillId="0" borderId="0" xfId="0" applyFont="1"/>
    <xf numFmtId="0" fontId="0" fillId="0" borderId="0" xfId="0" applyAlignment="1">
      <alignment wrapText="1"/>
    </xf>
    <xf numFmtId="43" fontId="0" fillId="0" borderId="0" xfId="0" applyNumberFormat="1"/>
    <xf numFmtId="0" fontId="2" fillId="0" borderId="0" xfId="0" applyFont="1" applyAlignment="1">
      <alignment horizontal="left" vertical="center"/>
    </xf>
    <xf numFmtId="10" fontId="0" fillId="0" borderId="0" xfId="2" applyNumberFormat="1" applyFont="1"/>
    <xf numFmtId="0" fontId="0" fillId="0" borderId="0" xfId="0" applyAlignment="1">
      <alignment horizontal="center" vertical="center"/>
    </xf>
    <xf numFmtId="0" fontId="0" fillId="0" borderId="0" xfId="0" applyAlignment="1">
      <alignment vertical="center" wrapText="1"/>
    </xf>
    <xf numFmtId="10" fontId="0" fillId="0" borderId="0" xfId="2" applyNumberFormat="1" applyFont="1" applyAlignment="1">
      <alignment wrapText="1"/>
    </xf>
    <xf numFmtId="10" fontId="0" fillId="0" borderId="0" xfId="2" applyNumberFormat="1" applyFont="1" applyAlignment="1">
      <alignment vertical="center"/>
    </xf>
    <xf numFmtId="10" fontId="2" fillId="0" borderId="0" xfId="2" applyNumberFormat="1" applyFont="1"/>
    <xf numFmtId="10" fontId="4" fillId="0" borderId="0" xfId="2" applyNumberFormat="1" applyFont="1"/>
    <xf numFmtId="10" fontId="0" fillId="0" borderId="0" xfId="0" applyNumberFormat="1" applyAlignment="1">
      <alignment horizontal="center" vertical="center"/>
    </xf>
    <xf numFmtId="43" fontId="2" fillId="0" borderId="0" xfId="1" applyFont="1"/>
    <xf numFmtId="43" fontId="4" fillId="0" borderId="0" xfId="1" applyFont="1"/>
    <xf numFmtId="10" fontId="0" fillId="0" borderId="0" xfId="1" applyNumberFormat="1" applyFont="1"/>
    <xf numFmtId="9" fontId="0" fillId="0" borderId="0" xfId="2" applyFont="1"/>
    <xf numFmtId="9" fontId="4" fillId="0" borderId="0" xfId="2" applyFont="1"/>
    <xf numFmtId="0" fontId="2" fillId="3" borderId="0" xfId="0" applyFont="1" applyFill="1"/>
    <xf numFmtId="43" fontId="2" fillId="0" borderId="0" xfId="1" applyFont="1" applyAlignment="1">
      <alignment horizontal="center"/>
    </xf>
    <xf numFmtId="10" fontId="0" fillId="3" borderId="0" xfId="2" applyNumberFormat="1" applyFont="1" applyFill="1"/>
    <xf numFmtId="9" fontId="0" fillId="0" borderId="0" xfId="0" applyNumberFormat="1"/>
    <xf numFmtId="0" fontId="0" fillId="10" borderId="0" xfId="0" applyFill="1"/>
    <xf numFmtId="43" fontId="2" fillId="10" borderId="0" xfId="1" applyFont="1" applyFill="1" applyAlignment="1">
      <alignment horizontal="center"/>
    </xf>
    <xf numFmtId="10" fontId="0" fillId="0" borderId="0" xfId="0" applyNumberFormat="1"/>
    <xf numFmtId="0" fontId="2" fillId="10" borderId="0" xfId="0" applyFont="1" applyFill="1"/>
    <xf numFmtId="10" fontId="1" fillId="0" borderId="0" xfId="2" applyNumberFormat="1" applyFont="1"/>
    <xf numFmtId="10" fontId="0" fillId="10" borderId="0" xfId="2" applyNumberFormat="1" applyFont="1" applyFill="1"/>
    <xf numFmtId="9" fontId="2" fillId="10" borderId="0" xfId="2" applyFont="1" applyFill="1"/>
    <xf numFmtId="10" fontId="2" fillId="10" borderId="0" xfId="2" applyNumberFormat="1" applyFont="1" applyFill="1"/>
    <xf numFmtId="0" fontId="2" fillId="3" borderId="0" xfId="0" applyFont="1" applyFill="1" applyAlignment="1">
      <alignment horizontal="center"/>
    </xf>
    <xf numFmtId="10" fontId="0" fillId="11" borderId="0" xfId="2" applyNumberFormat="1" applyFont="1" applyFill="1"/>
    <xf numFmtId="0" fontId="2" fillId="0" borderId="0" xfId="0" applyFont="1" applyAlignment="1">
      <alignment horizontal="center"/>
    </xf>
    <xf numFmtId="0" fontId="2" fillId="5" borderId="1" xfId="0" applyFont="1" applyFill="1" applyBorder="1" applyAlignment="1">
      <alignment horizontal="center" wrapText="1"/>
    </xf>
    <xf numFmtId="0" fontId="2" fillId="5" borderId="2" xfId="0" applyFont="1" applyFill="1" applyBorder="1" applyAlignment="1">
      <alignment horizontal="center" wrapText="1"/>
    </xf>
    <xf numFmtId="4" fontId="2" fillId="5" borderId="5" xfId="0" applyNumberFormat="1" applyFont="1" applyFill="1" applyBorder="1" applyAlignment="1">
      <alignment horizontal="center" vertical="center"/>
    </xf>
    <xf numFmtId="4" fontId="2" fillId="5" borderId="6" xfId="0" applyNumberFormat="1"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10" fontId="2" fillId="5" borderId="4" xfId="0" applyNumberFormat="1" applyFont="1" applyFill="1" applyBorder="1" applyAlignment="1">
      <alignment horizontal="right"/>
    </xf>
    <xf numFmtId="4" fontId="2" fillId="0" borderId="0" xfId="0" applyNumberFormat="1" applyFont="1" applyAlignment="1">
      <alignment horizontal="center" vertical="center"/>
    </xf>
    <xf numFmtId="10" fontId="2" fillId="5" borderId="3" xfId="0" applyNumberFormat="1" applyFont="1" applyFill="1" applyBorder="1" applyAlignment="1">
      <alignment horizontal="right"/>
    </xf>
    <xf numFmtId="10" fontId="2" fillId="0" borderId="3" xfId="0" applyNumberFormat="1" applyFont="1" applyBorder="1" applyAlignment="1">
      <alignment horizontal="right"/>
    </xf>
    <xf numFmtId="10" fontId="2" fillId="0" borderId="4" xfId="0" applyNumberFormat="1" applyFont="1" applyBorder="1" applyAlignment="1">
      <alignment horizontal="right"/>
    </xf>
    <xf numFmtId="4" fontId="0" fillId="0" borderId="3" xfId="0" applyNumberFormat="1" applyBorder="1" applyAlignment="1">
      <alignment horizontal="right"/>
    </xf>
    <xf numFmtId="10" fontId="0" fillId="0" borderId="3" xfId="0" applyNumberFormat="1" applyBorder="1" applyAlignment="1">
      <alignment horizontal="right"/>
    </xf>
    <xf numFmtId="10" fontId="0" fillId="0" borderId="15" xfId="0" applyNumberFormat="1" applyBorder="1" applyAlignment="1">
      <alignment horizontal="right"/>
    </xf>
    <xf numFmtId="10" fontId="2" fillId="0" borderId="15" xfId="0" applyNumberFormat="1" applyFont="1" applyBorder="1" applyAlignment="1">
      <alignment horizontal="right"/>
    </xf>
    <xf numFmtId="0" fontId="2" fillId="0" borderId="13" xfId="0" applyFont="1" applyBorder="1" applyAlignment="1">
      <alignment horizontal="center"/>
    </xf>
    <xf numFmtId="10" fontId="2" fillId="0" borderId="13" xfId="0" applyNumberFormat="1" applyFont="1" applyBorder="1" applyAlignment="1">
      <alignment horizontal="center"/>
    </xf>
    <xf numFmtId="10" fontId="0" fillId="0" borderId="25" xfId="0" applyNumberFormat="1" applyBorder="1" applyAlignment="1">
      <alignment horizontal="right"/>
    </xf>
    <xf numFmtId="2" fontId="0" fillId="0" borderId="0" xfId="0" applyNumberFormat="1"/>
    <xf numFmtId="0" fontId="0" fillId="0" borderId="3" xfId="0" applyBorder="1" applyAlignment="1">
      <alignment horizontal="left" wrapText="1"/>
    </xf>
    <xf numFmtId="0" fontId="0" fillId="0" borderId="3" xfId="0" applyBorder="1" applyAlignment="1">
      <alignment horizontal="center" vertical="center"/>
    </xf>
    <xf numFmtId="0" fontId="0" fillId="0" borderId="4" xfId="0" applyBorder="1" applyAlignment="1">
      <alignment horizontal="center" vertical="center"/>
    </xf>
    <xf numFmtId="0" fontId="0" fillId="5" borderId="3" xfId="0" applyFill="1" applyBorder="1" applyAlignment="1">
      <alignment horizontal="center" vertical="center"/>
    </xf>
    <xf numFmtId="0" fontId="0" fillId="0" borderId="3" xfId="0" applyBorder="1" applyAlignment="1">
      <alignment horizontal="center" wrapText="1"/>
    </xf>
    <xf numFmtId="10" fontId="0" fillId="0" borderId="4" xfId="0" applyNumberFormat="1" applyBorder="1" applyAlignment="1">
      <alignment horizontal="right"/>
    </xf>
    <xf numFmtId="2" fontId="0" fillId="0" borderId="3" xfId="0" applyNumberFormat="1" applyBorder="1" applyAlignment="1">
      <alignment horizontal="right"/>
    </xf>
    <xf numFmtId="0" fontId="0" fillId="5" borderId="5" xfId="0" applyFill="1" applyBorder="1" applyAlignment="1">
      <alignment horizontal="center" wrapText="1"/>
    </xf>
    <xf numFmtId="2" fontId="0" fillId="5" borderId="5" xfId="0" applyNumberFormat="1" applyFill="1" applyBorder="1" applyAlignment="1">
      <alignment horizontal="right"/>
    </xf>
    <xf numFmtId="164" fontId="0" fillId="5" borderId="5" xfId="0" applyNumberFormat="1" applyFill="1" applyBorder="1" applyAlignment="1">
      <alignment horizontal="center"/>
    </xf>
    <xf numFmtId="164" fontId="0" fillId="5" borderId="6" xfId="0" applyNumberFormat="1" applyFill="1" applyBorder="1" applyAlignment="1">
      <alignment horizontal="center"/>
    </xf>
    <xf numFmtId="0" fontId="0" fillId="0" borderId="17" xfId="0" applyBorder="1" applyAlignment="1">
      <alignment horizontal="center" wrapText="1"/>
    </xf>
    <xf numFmtId="0" fontId="0" fillId="0" borderId="3" xfId="0" applyBorder="1" applyAlignment="1">
      <alignment horizontal="center"/>
    </xf>
    <xf numFmtId="0" fontId="0" fillId="0" borderId="4" xfId="0" applyBorder="1"/>
    <xf numFmtId="0" fontId="0" fillId="0" borderId="5" xfId="0" applyBorder="1" applyAlignment="1">
      <alignment horizontal="center" wrapText="1"/>
    </xf>
    <xf numFmtId="2" fontId="0" fillId="0" borderId="5" xfId="0" applyNumberFormat="1" applyBorder="1" applyAlignment="1">
      <alignment horizontal="right"/>
    </xf>
    <xf numFmtId="0" fontId="0" fillId="0" borderId="5" xfId="0" applyBorder="1" applyAlignment="1">
      <alignment horizontal="center"/>
    </xf>
    <xf numFmtId="0" fontId="0" fillId="0" borderId="6" xfId="0" applyBorder="1"/>
    <xf numFmtId="0" fontId="0" fillId="0" borderId="29" xfId="0" applyBorder="1" applyAlignment="1">
      <alignment horizontal="center" wrapText="1"/>
    </xf>
    <xf numFmtId="10" fontId="0" fillId="0" borderId="13" xfId="0" applyNumberFormat="1" applyBorder="1" applyAlignment="1">
      <alignment horizontal="right"/>
    </xf>
    <xf numFmtId="0" fontId="0" fillId="0" borderId="18" xfId="0" applyBorder="1" applyAlignment="1">
      <alignment horizontal="center" wrapText="1"/>
    </xf>
    <xf numFmtId="0" fontId="0" fillId="0" borderId="13" xfId="0" applyBorder="1" applyAlignment="1">
      <alignment wrapText="1"/>
    </xf>
    <xf numFmtId="0" fontId="0" fillId="0" borderId="13" xfId="0" applyBorder="1"/>
    <xf numFmtId="0" fontId="0" fillId="0" borderId="13" xfId="0" applyBorder="1" applyAlignment="1">
      <alignment horizontal="right" wrapText="1"/>
    </xf>
    <xf numFmtId="164" fontId="0" fillId="0" borderId="25" xfId="0" applyNumberFormat="1" applyBorder="1" applyAlignment="1">
      <alignment horizontal="right"/>
    </xf>
    <xf numFmtId="0" fontId="0" fillId="0" borderId="25" xfId="0" applyBorder="1"/>
    <xf numFmtId="0" fontId="0" fillId="0" borderId="15" xfId="0" applyBorder="1" applyAlignment="1">
      <alignment horizontal="right" wrapText="1"/>
    </xf>
    <xf numFmtId="2" fontId="0" fillId="0" borderId="15" xfId="0" applyNumberFormat="1" applyBorder="1"/>
    <xf numFmtId="0" fontId="0" fillId="0" borderId="13" xfId="0" applyBorder="1" applyAlignment="1">
      <alignment horizontal="center"/>
    </xf>
    <xf numFmtId="0" fontId="0" fillId="0" borderId="10" xfId="0" applyBorder="1"/>
    <xf numFmtId="0" fontId="0" fillId="0" borderId="11" xfId="0" applyBorder="1"/>
    <xf numFmtId="0" fontId="0" fillId="0" borderId="25" xfId="0" applyBorder="1" applyAlignment="1">
      <alignment wrapText="1"/>
    </xf>
    <xf numFmtId="0" fontId="0" fillId="0" borderId="15" xfId="0" applyBorder="1" applyAlignment="1">
      <alignment wrapText="1"/>
    </xf>
    <xf numFmtId="0" fontId="0" fillId="0" borderId="15" xfId="0" applyBorder="1" applyAlignment="1">
      <alignment horizontal="right"/>
    </xf>
    <xf numFmtId="0" fontId="5" fillId="0" borderId="0" xfId="0" applyFont="1" applyAlignment="1">
      <alignment vertical="center" wrapText="1"/>
    </xf>
    <xf numFmtId="0" fontId="5" fillId="0" borderId="0" xfId="0" applyFont="1"/>
    <xf numFmtId="0" fontId="5" fillId="0" borderId="3" xfId="0" applyFont="1" applyBorder="1" applyAlignment="1">
      <alignment horizontal="center" wrapText="1"/>
    </xf>
    <xf numFmtId="2" fontId="5" fillId="0" borderId="3" xfId="0" applyNumberFormat="1" applyFont="1" applyBorder="1" applyAlignment="1">
      <alignment horizontal="right"/>
    </xf>
    <xf numFmtId="0" fontId="5" fillId="0" borderId="3" xfId="0" applyFont="1" applyBorder="1" applyAlignment="1">
      <alignment horizontal="center"/>
    </xf>
    <xf numFmtId="2" fontId="5" fillId="0" borderId="3" xfId="0" applyNumberFormat="1" applyFont="1" applyBorder="1"/>
    <xf numFmtId="0" fontId="5" fillId="0" borderId="4" xfId="0" applyFont="1" applyBorder="1" applyAlignment="1">
      <alignment horizontal="center"/>
    </xf>
    <xf numFmtId="2" fontId="7" fillId="0" borderId="3" xfId="0" applyNumberFormat="1" applyFont="1" applyBorder="1"/>
    <xf numFmtId="0" fontId="5" fillId="2" borderId="3" xfId="0" applyFont="1" applyFill="1" applyBorder="1" applyAlignment="1">
      <alignment horizontal="center" wrapText="1"/>
    </xf>
    <xf numFmtId="2" fontId="5" fillId="2" borderId="3" xfId="0" applyNumberFormat="1" applyFont="1" applyFill="1" applyBorder="1" applyAlignment="1">
      <alignment horizontal="right"/>
    </xf>
    <xf numFmtId="10" fontId="5" fillId="2" borderId="3" xfId="0" applyNumberFormat="1" applyFont="1" applyFill="1" applyBorder="1" applyAlignment="1">
      <alignment horizontal="right"/>
    </xf>
    <xf numFmtId="10" fontId="5" fillId="2" borderId="4" xfId="0" applyNumberFormat="1" applyFont="1" applyFill="1" applyBorder="1" applyAlignment="1">
      <alignment horizontal="right"/>
    </xf>
    <xf numFmtId="0" fontId="5" fillId="5" borderId="3" xfId="0" applyFont="1" applyFill="1" applyBorder="1" applyAlignment="1">
      <alignment horizontal="center" wrapText="1"/>
    </xf>
    <xf numFmtId="2" fontId="5" fillId="5" borderId="3" xfId="0" applyNumberFormat="1" applyFont="1" applyFill="1" applyBorder="1" applyAlignment="1">
      <alignment horizontal="right"/>
    </xf>
    <xf numFmtId="4" fontId="5" fillId="5" borderId="3" xfId="0" applyNumberFormat="1" applyFont="1" applyFill="1" applyBorder="1" applyAlignment="1">
      <alignment horizontal="right"/>
    </xf>
    <xf numFmtId="164" fontId="5" fillId="5" borderId="3" xfId="0" applyNumberFormat="1" applyFont="1" applyFill="1" applyBorder="1" applyAlignment="1">
      <alignment horizontal="center"/>
    </xf>
    <xf numFmtId="164" fontId="5" fillId="5" borderId="4" xfId="0" applyNumberFormat="1" applyFont="1" applyFill="1" applyBorder="1" applyAlignment="1">
      <alignment horizontal="center"/>
    </xf>
    <xf numFmtId="2" fontId="7" fillId="0" borderId="3" xfId="0" applyNumberFormat="1" applyFont="1" applyBorder="1" applyAlignment="1">
      <alignment horizontal="right"/>
    </xf>
    <xf numFmtId="4" fontId="7" fillId="0" borderId="13" xfId="0" applyNumberFormat="1" applyFont="1" applyBorder="1" applyAlignment="1">
      <alignment horizontal="right"/>
    </xf>
    <xf numFmtId="4" fontId="7" fillId="0" borderId="15" xfId="0" applyNumberFormat="1" applyFont="1" applyBorder="1" applyAlignment="1">
      <alignment horizontal="right"/>
    </xf>
    <xf numFmtId="2" fontId="7" fillId="0" borderId="24" xfId="0" applyNumberFormat="1" applyFont="1" applyBorder="1" applyAlignment="1">
      <alignment horizontal="right"/>
    </xf>
    <xf numFmtId="165" fontId="7" fillId="0" borderId="25" xfId="0" applyNumberFormat="1" applyFont="1" applyBorder="1" applyAlignment="1">
      <alignment horizontal="right"/>
    </xf>
    <xf numFmtId="2" fontId="7" fillId="0" borderId="23" xfId="0" applyNumberFormat="1" applyFont="1" applyBorder="1" applyAlignment="1">
      <alignment horizontal="right"/>
    </xf>
    <xf numFmtId="0" fontId="7" fillId="0" borderId="15" xfId="0" applyFont="1" applyBorder="1" applyAlignment="1">
      <alignment horizontal="left" wrapText="1"/>
    </xf>
    <xf numFmtId="2" fontId="7" fillId="0" borderId="15" xfId="0" applyNumberFormat="1" applyFont="1" applyBorder="1" applyAlignment="1">
      <alignment horizontal="right"/>
    </xf>
    <xf numFmtId="10" fontId="7" fillId="0" borderId="15" xfId="0" applyNumberFormat="1" applyFont="1" applyBorder="1" applyAlignment="1">
      <alignment horizontal="right"/>
    </xf>
    <xf numFmtId="10" fontId="5" fillId="0" borderId="15" xfId="0" applyNumberFormat="1" applyFont="1" applyBorder="1" applyAlignment="1">
      <alignment horizontal="right"/>
    </xf>
    <xf numFmtId="0" fontId="7" fillId="0" borderId="13" xfId="0" applyFont="1" applyBorder="1" applyAlignment="1">
      <alignment vertical="center" wrapText="1"/>
    </xf>
    <xf numFmtId="0" fontId="7" fillId="0" borderId="12" xfId="0" applyFont="1" applyBorder="1" applyAlignment="1">
      <alignment vertical="center" wrapText="1"/>
    </xf>
    <xf numFmtId="0" fontId="8" fillId="0" borderId="10" xfId="0" applyFont="1" applyBorder="1" applyAlignment="1">
      <alignment wrapText="1"/>
    </xf>
    <xf numFmtId="0" fontId="0" fillId="0" borderId="11" xfId="0" applyBorder="1" applyAlignment="1">
      <alignment horizontal="center" wrapText="1"/>
    </xf>
    <xf numFmtId="0" fontId="0" fillId="0" borderId="13" xfId="0" applyBorder="1" applyAlignment="1">
      <alignment horizontal="center" wrapText="1"/>
    </xf>
    <xf numFmtId="0" fontId="0" fillId="0" borderId="15" xfId="0" applyBorder="1" applyAlignment="1">
      <alignment horizontal="center" wrapText="1"/>
    </xf>
    <xf numFmtId="165" fontId="0" fillId="0" borderId="13" xfId="0" applyNumberFormat="1" applyBorder="1" applyAlignment="1">
      <alignment horizontal="right"/>
    </xf>
    <xf numFmtId="0" fontId="0" fillId="0" borderId="25" xfId="0" applyBorder="1" applyAlignment="1">
      <alignment horizontal="center"/>
    </xf>
    <xf numFmtId="164" fontId="0" fillId="0" borderId="25" xfId="0" applyNumberFormat="1" applyBorder="1" applyAlignment="1">
      <alignment wrapText="1"/>
    </xf>
    <xf numFmtId="164" fontId="0" fillId="0" borderId="13" xfId="0" applyNumberFormat="1" applyBorder="1" applyAlignment="1">
      <alignment horizontal="right"/>
    </xf>
    <xf numFmtId="0" fontId="0" fillId="0" borderId="25" xfId="0" applyBorder="1" applyAlignment="1">
      <alignment horizontal="right"/>
    </xf>
    <xf numFmtId="10" fontId="5" fillId="0" borderId="25" xfId="0" applyNumberFormat="1" applyFont="1" applyBorder="1" applyAlignment="1">
      <alignment horizontal="right"/>
    </xf>
    <xf numFmtId="0" fontId="0" fillId="0" borderId="25" xfId="0" applyBorder="1" applyAlignment="1">
      <alignment horizontal="center" wrapText="1"/>
    </xf>
    <xf numFmtId="10" fontId="0" fillId="0" borderId="25" xfId="0" applyNumberFormat="1" applyBorder="1" applyAlignment="1">
      <alignment horizontal="right" wrapText="1"/>
    </xf>
    <xf numFmtId="0" fontId="0" fillId="0" borderId="10" xfId="0" applyBorder="1" applyAlignment="1">
      <alignment wrapText="1"/>
    </xf>
    <xf numFmtId="0" fontId="0" fillId="0" borderId="10" xfId="0" applyBorder="1" applyAlignment="1">
      <alignment horizontal="center" wrapText="1"/>
    </xf>
    <xf numFmtId="0" fontId="0" fillId="0" borderId="3" xfId="0" applyBorder="1" applyAlignment="1">
      <alignment horizontal="right"/>
    </xf>
    <xf numFmtId="10" fontId="5" fillId="0" borderId="3" xfId="0" applyNumberFormat="1" applyFont="1" applyBorder="1" applyAlignment="1">
      <alignment horizontal="right"/>
    </xf>
    <xf numFmtId="0" fontId="0" fillId="0" borderId="3" xfId="0" applyBorder="1"/>
    <xf numFmtId="10" fontId="5" fillId="0" borderId="3" xfId="0" applyNumberFormat="1" applyFont="1" applyBorder="1" applyAlignment="1">
      <alignment horizontal="right" vertical="center"/>
    </xf>
    <xf numFmtId="0" fontId="10" fillId="0" borderId="12" xfId="0" applyFont="1" applyBorder="1" applyAlignment="1">
      <alignment wrapText="1"/>
    </xf>
    <xf numFmtId="0" fontId="10" fillId="0" borderId="12" xfId="0" applyFont="1" applyBorder="1"/>
    <xf numFmtId="0" fontId="5" fillId="0" borderId="10" xfId="0" applyFont="1" applyBorder="1" applyAlignment="1">
      <alignment wrapText="1"/>
    </xf>
    <xf numFmtId="0" fontId="5" fillId="0" borderId="11" xfId="0" applyFont="1" applyBorder="1" applyAlignment="1">
      <alignment horizontal="center" wrapText="1"/>
    </xf>
    <xf numFmtId="10" fontId="0" fillId="0" borderId="3" xfId="0" applyNumberFormat="1" applyBorder="1"/>
    <xf numFmtId="0" fontId="11" fillId="0" borderId="12" xfId="0" applyFont="1" applyBorder="1"/>
    <xf numFmtId="10" fontId="5" fillId="0" borderId="11" xfId="0" applyNumberFormat="1" applyFont="1" applyBorder="1" applyAlignment="1">
      <alignment horizontal="right"/>
    </xf>
    <xf numFmtId="10" fontId="5" fillId="0" borderId="10" xfId="0" applyNumberFormat="1" applyFont="1" applyBorder="1" applyAlignment="1">
      <alignment horizontal="center" wrapText="1"/>
    </xf>
    <xf numFmtId="10" fontId="5" fillId="0" borderId="13" xfId="0" applyNumberFormat="1" applyFont="1" applyBorder="1" applyAlignment="1">
      <alignment horizontal="right"/>
    </xf>
    <xf numFmtId="0" fontId="0" fillId="0" borderId="15" xfId="0" applyBorder="1"/>
    <xf numFmtId="0" fontId="11" fillId="0" borderId="13" xfId="0" applyFont="1" applyBorder="1"/>
    <xf numFmtId="0" fontId="11" fillId="0" borderId="25" xfId="0" applyFont="1" applyBorder="1"/>
    <xf numFmtId="0" fontId="11" fillId="0" borderId="15" xfId="0" applyFont="1" applyBorder="1"/>
    <xf numFmtId="0" fontId="5" fillId="0" borderId="13" xfId="0" applyFont="1" applyBorder="1" applyAlignment="1">
      <alignment wrapText="1"/>
    </xf>
    <xf numFmtId="0" fontId="5" fillId="0" borderId="25" xfId="0" applyFont="1" applyBorder="1" applyAlignment="1">
      <alignment wrapText="1"/>
    </xf>
    <xf numFmtId="0" fontId="5" fillId="0" borderId="15" xfId="0" applyFont="1" applyBorder="1" applyAlignment="1">
      <alignment wrapText="1"/>
    </xf>
    <xf numFmtId="0" fontId="9" fillId="5" borderId="12" xfId="0" applyFont="1" applyFill="1" applyBorder="1" applyAlignment="1">
      <alignment wrapText="1"/>
    </xf>
    <xf numFmtId="0" fontId="9" fillId="5" borderId="10" xfId="0" applyFont="1" applyFill="1" applyBorder="1" applyAlignment="1">
      <alignment wrapText="1"/>
    </xf>
    <xf numFmtId="0" fontId="9" fillId="5" borderId="10" xfId="0" applyFont="1" applyFill="1" applyBorder="1" applyAlignment="1">
      <alignment horizontal="center" wrapText="1"/>
    </xf>
    <xf numFmtId="10" fontId="9" fillId="5" borderId="10" xfId="0" applyNumberFormat="1" applyFont="1" applyFill="1" applyBorder="1" applyAlignment="1">
      <alignment horizontal="right"/>
    </xf>
    <xf numFmtId="10" fontId="9" fillId="7" borderId="10" xfId="0" applyNumberFormat="1" applyFont="1" applyFill="1" applyBorder="1" applyAlignment="1">
      <alignment horizontal="right"/>
    </xf>
    <xf numFmtId="10" fontId="9" fillId="7" borderId="11" xfId="0" applyNumberFormat="1" applyFont="1" applyFill="1" applyBorder="1" applyAlignment="1">
      <alignment horizontal="right"/>
    </xf>
    <xf numFmtId="166" fontId="0" fillId="0" borderId="0" xfId="1" applyNumberFormat="1" applyFont="1"/>
    <xf numFmtId="44" fontId="0" fillId="0" borderId="0" xfId="3" applyFont="1"/>
    <xf numFmtId="44" fontId="0" fillId="0" borderId="0" xfId="3" applyFont="1" applyAlignment="1">
      <alignment vertical="center"/>
    </xf>
    <xf numFmtId="44" fontId="2" fillId="0" borderId="0" xfId="3" applyFont="1"/>
    <xf numFmtId="44" fontId="2" fillId="10" borderId="0" xfId="3" applyFont="1" applyFill="1"/>
    <xf numFmtId="44" fontId="1" fillId="0" borderId="0" xfId="3" applyFont="1"/>
    <xf numFmtId="10" fontId="0" fillId="11" borderId="25" xfId="0" applyNumberFormat="1" applyFill="1" applyBorder="1" applyAlignment="1">
      <alignment horizontal="right"/>
    </xf>
    <xf numFmtId="164" fontId="0" fillId="0" borderId="0" xfId="2" applyNumberFormat="1" applyFont="1"/>
    <xf numFmtId="164" fontId="2" fillId="0" borderId="0" xfId="2" applyNumberFormat="1" applyFont="1"/>
    <xf numFmtId="9" fontId="0" fillId="0" borderId="0" xfId="1" applyNumberFormat="1" applyFont="1"/>
    <xf numFmtId="43" fontId="0" fillId="10" borderId="0" xfId="1" applyFont="1" applyFill="1"/>
    <xf numFmtId="10" fontId="0" fillId="10" borderId="0" xfId="1" applyNumberFormat="1" applyFont="1" applyFill="1"/>
    <xf numFmtId="9" fontId="2" fillId="0" borderId="0" xfId="2" applyFont="1"/>
    <xf numFmtId="167" fontId="0" fillId="0" borderId="0" xfId="0" applyNumberFormat="1"/>
    <xf numFmtId="10" fontId="0" fillId="9" borderId="0" xfId="1" applyNumberFormat="1" applyFont="1" applyFill="1"/>
    <xf numFmtId="0" fontId="0" fillId="12" borderId="0" xfId="0" applyFill="1"/>
    <xf numFmtId="10" fontId="0" fillId="12" borderId="0" xfId="2" applyNumberFormat="1" applyFont="1" applyFill="1"/>
    <xf numFmtId="10" fontId="2" fillId="0" borderId="0" xfId="0" applyNumberFormat="1" applyFont="1"/>
    <xf numFmtId="0" fontId="0" fillId="13" borderId="0" xfId="0" applyFill="1"/>
    <xf numFmtId="44" fontId="0" fillId="0" borderId="0" xfId="0" applyNumberFormat="1"/>
    <xf numFmtId="0" fontId="2" fillId="12" borderId="0" xfId="0" applyFont="1" applyFill="1" applyAlignment="1">
      <alignment horizontal="center"/>
    </xf>
    <xf numFmtId="0" fontId="2" fillId="14" borderId="0" xfId="0" applyFont="1" applyFill="1"/>
    <xf numFmtId="0" fontId="0" fillId="14" borderId="0" xfId="0" applyFill="1"/>
    <xf numFmtId="43" fontId="0" fillId="0" borderId="0" xfId="1" applyFont="1" applyAlignment="1">
      <alignment horizontal="center"/>
    </xf>
    <xf numFmtId="0" fontId="14" fillId="0" borderId="0" xfId="0" applyFont="1"/>
    <xf numFmtId="44" fontId="0" fillId="0" borderId="0" xfId="3" applyFont="1" applyFill="1"/>
    <xf numFmtId="10" fontId="0" fillId="15" borderId="0" xfId="1" applyNumberFormat="1" applyFont="1" applyFill="1"/>
    <xf numFmtId="9" fontId="0" fillId="15" borderId="0" xfId="0" applyNumberFormat="1" applyFill="1"/>
    <xf numFmtId="10" fontId="1" fillId="0" borderId="0" xfId="2" applyNumberFormat="1" applyFont="1" applyFill="1"/>
    <xf numFmtId="0" fontId="15" fillId="0" borderId="0" xfId="0" applyFont="1"/>
    <xf numFmtId="2" fontId="0" fillId="11" borderId="3" xfId="0" applyNumberFormat="1" applyFill="1" applyBorder="1" applyAlignment="1">
      <alignment horizontal="right"/>
    </xf>
    <xf numFmtId="10" fontId="7" fillId="11" borderId="13" xfId="2" applyNumberFormat="1" applyFont="1" applyFill="1" applyBorder="1" applyAlignment="1" applyProtection="1">
      <alignment horizontal="center" wrapText="1"/>
    </xf>
    <xf numFmtId="10" fontId="7" fillId="11" borderId="25" xfId="2" applyNumberFormat="1" applyFont="1" applyFill="1" applyBorder="1" applyAlignment="1" applyProtection="1">
      <alignment horizontal="center" wrapText="1"/>
    </xf>
    <xf numFmtId="10" fontId="7" fillId="11" borderId="15" xfId="2" applyNumberFormat="1" applyFont="1" applyFill="1" applyBorder="1" applyAlignment="1" applyProtection="1">
      <alignment horizontal="center" wrapText="1"/>
    </xf>
    <xf numFmtId="10" fontId="5" fillId="11" borderId="3" xfId="0" applyNumberFormat="1" applyFont="1" applyFill="1" applyBorder="1" applyAlignment="1">
      <alignment horizontal="right"/>
    </xf>
    <xf numFmtId="0" fontId="0" fillId="3" borderId="0" xfId="0" applyFill="1" applyAlignment="1" applyProtection="1">
      <alignment horizontal="center" vertical="center"/>
      <protection locked="0"/>
    </xf>
    <xf numFmtId="44" fontId="0" fillId="3" borderId="0" xfId="3" applyFont="1" applyFill="1" applyProtection="1">
      <protection locked="0"/>
    </xf>
    <xf numFmtId="0" fontId="0" fillId="3" borderId="0" xfId="0" applyFill="1" applyProtection="1">
      <protection locked="0"/>
    </xf>
    <xf numFmtId="164" fontId="0" fillId="3" borderId="0" xfId="2" applyNumberFormat="1" applyFont="1" applyFill="1" applyProtection="1">
      <protection locked="0"/>
    </xf>
    <xf numFmtId="44" fontId="1" fillId="3" borderId="0" xfId="3" applyFont="1" applyFill="1" applyProtection="1">
      <protection locked="0"/>
    </xf>
    <xf numFmtId="44" fontId="0" fillId="9" borderId="0" xfId="3" applyFont="1" applyFill="1" applyProtection="1"/>
    <xf numFmtId="44" fontId="0" fillId="2" borderId="0" xfId="3" applyFont="1" applyFill="1" applyProtection="1">
      <protection locked="0"/>
    </xf>
    <xf numFmtId="0" fontId="4" fillId="4" borderId="0" xfId="0" applyFont="1" applyFill="1"/>
    <xf numFmtId="0" fontId="16" fillId="0" borderId="0" xfId="4"/>
    <xf numFmtId="14" fontId="0" fillId="0" borderId="0" xfId="0" applyNumberFormat="1"/>
    <xf numFmtId="0" fontId="0" fillId="0" borderId="0" xfId="0" applyAlignment="1">
      <alignment horizontal="center"/>
    </xf>
    <xf numFmtId="10" fontId="0" fillId="16" borderId="0" xfId="2" applyNumberFormat="1" applyFont="1" applyFill="1"/>
    <xf numFmtId="9" fontId="0" fillId="0" borderId="0" xfId="0" applyNumberFormat="1" applyAlignment="1">
      <alignment horizontal="right" vertical="center"/>
    </xf>
    <xf numFmtId="44" fontId="4" fillId="0" borderId="0" xfId="3" applyFont="1" applyAlignment="1">
      <alignment vertical="center"/>
    </xf>
    <xf numFmtId="9" fontId="0" fillId="0" borderId="0" xfId="2" applyFont="1" applyAlignment="1">
      <alignment vertical="center"/>
    </xf>
    <xf numFmtId="9" fontId="0" fillId="0" borderId="0" xfId="0" applyNumberFormat="1" applyAlignment="1">
      <alignment vertical="center"/>
    </xf>
    <xf numFmtId="43" fontId="4" fillId="0" borderId="0" xfId="1" applyFont="1" applyAlignment="1">
      <alignment vertical="center"/>
    </xf>
    <xf numFmtId="0" fontId="18" fillId="0" borderId="0" xfId="0" applyFont="1"/>
    <xf numFmtId="10" fontId="5" fillId="0" borderId="10" xfId="0" applyNumberFormat="1" applyFont="1" applyBorder="1" applyAlignment="1">
      <alignment wrapText="1"/>
    </xf>
    <xf numFmtId="10" fontId="0" fillId="4" borderId="15" xfId="0" applyNumberFormat="1" applyFill="1" applyBorder="1" applyAlignment="1">
      <alignment horizontal="right"/>
    </xf>
    <xf numFmtId="10" fontId="0" fillId="17" borderId="25" xfId="0" applyNumberFormat="1" applyFill="1" applyBorder="1" applyAlignment="1">
      <alignment horizontal="right"/>
    </xf>
    <xf numFmtId="10" fontId="0" fillId="4" borderId="0" xfId="2" applyNumberFormat="1" applyFont="1" applyFill="1"/>
    <xf numFmtId="44" fontId="0" fillId="18" borderId="0" xfId="3" applyFont="1" applyFill="1"/>
    <xf numFmtId="0" fontId="0" fillId="18" borderId="0" xfId="0" applyFill="1"/>
    <xf numFmtId="10" fontId="0" fillId="18" borderId="0" xfId="0" applyNumberFormat="1" applyFill="1"/>
    <xf numFmtId="0" fontId="16" fillId="18" borderId="0" xfId="4" applyFill="1"/>
    <xf numFmtId="0" fontId="16" fillId="0" borderId="0" xfId="4" applyFill="1"/>
    <xf numFmtId="10" fontId="2" fillId="9" borderId="0" xfId="2" applyNumberFormat="1" applyFont="1" applyFill="1"/>
    <xf numFmtId="10" fontId="0" fillId="15" borderId="0" xfId="0" applyNumberFormat="1" applyFill="1"/>
    <xf numFmtId="0" fontId="21" fillId="0" borderId="0" xfId="4" applyFont="1"/>
    <xf numFmtId="0" fontId="0" fillId="0" borderId="21" xfId="0" applyBorder="1" applyAlignment="1">
      <alignment horizontal="left" wrapText="1"/>
    </xf>
    <xf numFmtId="0" fontId="0" fillId="0" borderId="3" xfId="0" applyBorder="1" applyAlignment="1">
      <alignment horizontal="left" wrapText="1"/>
    </xf>
    <xf numFmtId="0" fontId="5" fillId="5" borderId="21" xfId="0" applyFont="1" applyFill="1" applyBorder="1" applyAlignment="1">
      <alignment wrapText="1"/>
    </xf>
    <xf numFmtId="0" fontId="5" fillId="5" borderId="3" xfId="0" applyFont="1" applyFill="1" applyBorder="1" applyAlignment="1">
      <alignment wrapText="1"/>
    </xf>
    <xf numFmtId="0" fontId="5" fillId="5" borderId="3" xfId="0" applyFont="1" applyFill="1" applyBorder="1" applyAlignment="1">
      <alignment horizontal="center"/>
    </xf>
    <xf numFmtId="0" fontId="5" fillId="0" borderId="21" xfId="0" applyFont="1" applyBorder="1" applyAlignment="1">
      <alignment wrapText="1"/>
    </xf>
    <xf numFmtId="0" fontId="5" fillId="0" borderId="3" xfId="0" applyFont="1" applyBorder="1" applyAlignment="1">
      <alignment wrapText="1"/>
    </xf>
    <xf numFmtId="0" fontId="5" fillId="2" borderId="21" xfId="0" applyFont="1" applyFill="1" applyBorder="1" applyAlignment="1">
      <alignment wrapText="1"/>
    </xf>
    <xf numFmtId="0" fontId="5" fillId="2" borderId="3" xfId="0" applyFont="1" applyFill="1" applyBorder="1" applyAlignment="1">
      <alignment wrapText="1"/>
    </xf>
    <xf numFmtId="0" fontId="5" fillId="5" borderId="21"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5" fillId="5" borderId="5" xfId="0" applyFont="1" applyFill="1" applyBorder="1" applyAlignment="1">
      <alignment horizontal="left" vertical="center" wrapText="1"/>
    </xf>
    <xf numFmtId="0" fontId="0" fillId="0" borderId="26" xfId="0" applyBorder="1" applyAlignment="1">
      <alignment horizontal="left" wrapText="1"/>
    </xf>
    <xf numFmtId="0" fontId="0" fillId="0" borderId="17" xfId="0" applyBorder="1" applyAlignment="1">
      <alignment horizontal="left" wrapText="1"/>
    </xf>
    <xf numFmtId="2" fontId="0" fillId="0" borderId="27" xfId="0" applyNumberFormat="1" applyBorder="1" applyAlignment="1">
      <alignment horizontal="center"/>
    </xf>
    <xf numFmtId="2" fontId="0" fillId="0" borderId="16" xfId="0" applyNumberFormat="1" applyBorder="1" applyAlignment="1">
      <alignment horizontal="center"/>
    </xf>
    <xf numFmtId="0" fontId="5" fillId="5" borderId="4" xfId="0" applyFont="1" applyFill="1" applyBorder="1" applyAlignment="1">
      <alignment horizontal="center"/>
    </xf>
    <xf numFmtId="0" fontId="5" fillId="5" borderId="20" xfId="0" applyFont="1" applyFill="1" applyBorder="1" applyAlignment="1">
      <alignment wrapText="1"/>
    </xf>
    <xf numFmtId="0" fontId="5" fillId="5" borderId="1" xfId="0" applyFont="1" applyFill="1" applyBorder="1" applyAlignment="1">
      <alignment wrapText="1"/>
    </xf>
    <xf numFmtId="0" fontId="0" fillId="0" borderId="21" xfId="0" applyBorder="1" applyAlignment="1">
      <alignment vertical="center" wrapText="1"/>
    </xf>
    <xf numFmtId="0" fontId="0" fillId="0" borderId="3" xfId="0" applyBorder="1" applyAlignment="1">
      <alignment vertical="center" wrapText="1"/>
    </xf>
    <xf numFmtId="0" fontId="0" fillId="5" borderId="21" xfId="0" applyFill="1" applyBorder="1" applyAlignment="1">
      <alignment vertical="center" wrapText="1"/>
    </xf>
    <xf numFmtId="0" fontId="0" fillId="5" borderId="3" xfId="0" applyFill="1" applyBorder="1" applyAlignment="1">
      <alignment vertical="center" wrapText="1"/>
    </xf>
    <xf numFmtId="0" fontId="5" fillId="5" borderId="22" xfId="0" applyFont="1" applyFill="1" applyBorder="1" applyAlignment="1">
      <alignment vertical="center" wrapText="1"/>
    </xf>
    <xf numFmtId="0" fontId="5" fillId="5" borderId="5" xfId="0" applyFont="1" applyFill="1" applyBorder="1" applyAlignment="1">
      <alignment vertical="center" wrapText="1"/>
    </xf>
    <xf numFmtId="0" fontId="2" fillId="5" borderId="1" xfId="0" applyFont="1" applyFill="1" applyBorder="1" applyAlignment="1">
      <alignment horizontal="center"/>
    </xf>
    <xf numFmtId="0" fontId="2" fillId="5" borderId="2" xfId="0" applyFont="1" applyFill="1" applyBorder="1" applyAlignment="1">
      <alignment horizontal="center"/>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0" fillId="0" borderId="13" xfId="0" applyBorder="1" applyAlignment="1">
      <alignment wrapText="1"/>
    </xf>
    <xf numFmtId="2" fontId="0" fillId="0" borderId="9" xfId="0" applyNumberFormat="1" applyBorder="1" applyAlignment="1">
      <alignment horizontal="center"/>
    </xf>
    <xf numFmtId="0" fontId="5" fillId="5" borderId="20" xfId="0" applyFont="1" applyFill="1" applyBorder="1" applyAlignment="1">
      <alignment horizontal="left" wrapText="1"/>
    </xf>
    <xf numFmtId="0" fontId="5" fillId="5" borderId="1" xfId="0" applyFont="1" applyFill="1" applyBorder="1" applyAlignment="1">
      <alignment horizontal="left" wrapText="1"/>
    </xf>
    <xf numFmtId="0" fontId="5" fillId="5" borderId="13" xfId="0" applyFont="1" applyFill="1" applyBorder="1" applyAlignment="1">
      <alignment horizontal="center"/>
    </xf>
    <xf numFmtId="0" fontId="2" fillId="5" borderId="3" xfId="0" applyFont="1" applyFill="1" applyBorder="1" applyAlignment="1">
      <alignment horizontal="center"/>
    </xf>
    <xf numFmtId="0" fontId="5" fillId="5" borderId="28"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30"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4" xfId="0" applyFont="1" applyFill="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wrapText="1"/>
    </xf>
    <xf numFmtId="0" fontId="5" fillId="0" borderId="22" xfId="0" applyFont="1" applyBorder="1" applyAlignment="1">
      <alignment horizontal="left" vertical="center" wrapText="1"/>
    </xf>
    <xf numFmtId="0" fontId="5" fillId="0" borderId="5" xfId="0" applyFont="1" applyBorder="1" applyAlignment="1">
      <alignment horizontal="left" vertical="center" wrapText="1"/>
    </xf>
    <xf numFmtId="0" fontId="0" fillId="0" borderId="28" xfId="0" applyBorder="1" applyAlignment="1">
      <alignment horizontal="left" wrapText="1"/>
    </xf>
    <xf numFmtId="0" fontId="0" fillId="0" borderId="29" xfId="0" applyBorder="1" applyAlignment="1">
      <alignment horizontal="left" wrapText="1"/>
    </xf>
    <xf numFmtId="0" fontId="0" fillId="0" borderId="19" xfId="0" applyBorder="1" applyAlignment="1">
      <alignment horizontal="left" wrapText="1"/>
    </xf>
    <xf numFmtId="0" fontId="0" fillId="0" borderId="18"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cellXfs>
  <cellStyles count="5">
    <cellStyle name="Komma" xfId="1" builtinId="3"/>
    <cellStyle name="Link" xfId="4" builtinId="8"/>
    <cellStyle name="Prozent" xfId="2" builtinId="5"/>
    <cellStyle name="Standard" xfId="0" builtinId="0"/>
    <cellStyle name="Währung" xfId="3" builtin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147249</xdr:colOff>
      <xdr:row>0</xdr:row>
      <xdr:rowOff>33130</xdr:rowOff>
    </xdr:from>
    <xdr:to>
      <xdr:col>5</xdr:col>
      <xdr:colOff>341063</xdr:colOff>
      <xdr:row>3</xdr:row>
      <xdr:rowOff>26753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9706" y="33130"/>
          <a:ext cx="1818212" cy="604631"/>
        </a:xfrm>
        <a:prstGeom prst="rect">
          <a:avLst/>
        </a:prstGeom>
      </xdr:spPr>
    </xdr:pic>
    <xdr:clientData/>
  </xdr:twoCellAnchor>
  <xdr:twoCellAnchor editAs="oneCell">
    <xdr:from>
      <xdr:col>3</xdr:col>
      <xdr:colOff>568594</xdr:colOff>
      <xdr:row>3</xdr:row>
      <xdr:rowOff>150645</xdr:rowOff>
    </xdr:from>
    <xdr:to>
      <xdr:col>4</xdr:col>
      <xdr:colOff>778306</xdr:colOff>
      <xdr:row>9</xdr:row>
      <xdr:rowOff>904</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71051" y="763558"/>
          <a:ext cx="975522" cy="97552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wko.at/lohnverrechnung/dienstgeberabgabe-wien-dga-u-bahn-steuer" TargetMode="External"/><Relationship Id="rId13" Type="http://schemas.openxmlformats.org/officeDocument/2006/relationships/comments" Target="../comments2.xml"/><Relationship Id="rId3" Type="http://schemas.openxmlformats.org/officeDocument/2006/relationships/hyperlink" Target="https://www.ris.bka.gv.at/Dokumente/BgblAuth/BGBLA_2019_II_356/BGBLA_2019_II_356.pdfsig" TargetMode="External"/><Relationship Id="rId7" Type="http://schemas.openxmlformats.org/officeDocument/2006/relationships/hyperlink" Target="https://www.sozialversicherung.at/cdscontent/?contentid=10007.862683&amp;portal=svportal%20und" TargetMode="External"/><Relationship Id="rId12" Type="http://schemas.openxmlformats.org/officeDocument/2006/relationships/vmlDrawing" Target="../drawings/vmlDrawing2.vml"/><Relationship Id="rId2" Type="http://schemas.openxmlformats.org/officeDocument/2006/relationships/hyperlink" Target="https://www.wko.at/service/steuern/Zuschlag_zum_Dienstgeberbeitrag.html" TargetMode="External"/><Relationship Id="rId1" Type="http://schemas.openxmlformats.org/officeDocument/2006/relationships/hyperlink" Target="https://www.wko.at/service/arbeitsrecht-sozialrecht/Abfertigung_Alt.html" TargetMode="External"/><Relationship Id="rId6" Type="http://schemas.openxmlformats.org/officeDocument/2006/relationships/hyperlink" Target="https://www.ris.bka.gv.at/NormDokument.wxe?Abfrage=Bundesnormen&amp;Gesetzesnummer=10008147&amp;Artikel=&amp;Paragraf=49&amp;Anlage=&amp;Uebergangsrecht=" TargetMode="External"/><Relationship Id="rId11" Type="http://schemas.openxmlformats.org/officeDocument/2006/relationships/printerSettings" Target="../printerSettings/printerSettings4.bin"/><Relationship Id="rId5" Type="http://schemas.openxmlformats.org/officeDocument/2006/relationships/hyperlink" Target="https://www.wko.at/service/steuern/Dienstgeberbeitrag_zum_Familienlastenausgleichsfonds_(DB).html" TargetMode="External"/><Relationship Id="rId10" Type="http://schemas.openxmlformats.org/officeDocument/2006/relationships/hyperlink" Target="https://www.weka.at/personalverrechnung/News/Ausgleichstaxe-2023" TargetMode="External"/><Relationship Id="rId4" Type="http://schemas.openxmlformats.org/officeDocument/2006/relationships/hyperlink" Target="https://www.ris.bka.gv.at/Dokumente/BgblAuth/BGBLA_2015_II_375/BGBLA_2015_II_375.pdf" TargetMode="External"/><Relationship Id="rId9" Type="http://schemas.openxmlformats.org/officeDocument/2006/relationships/hyperlink" Target="https://www.wko.at/service/kollektivvertrag/kollektivvertrag-denkmal-fassaden-gebaeudereiniger-2022.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D84"/>
  <sheetViews>
    <sheetView tabSelected="1" zoomScaleNormal="100" workbookViewId="0">
      <selection activeCell="H7" sqref="H7"/>
    </sheetView>
  </sheetViews>
  <sheetFormatPr baseColWidth="10" defaultRowHeight="14.4" x14ac:dyDescent="0.3"/>
  <cols>
    <col min="1" max="1" width="60" customWidth="1"/>
    <col min="2" max="2" width="26.33203125" customWidth="1"/>
    <col min="3" max="3" width="16.33203125" bestFit="1" customWidth="1"/>
    <col min="5" max="5" width="12.6640625" bestFit="1" customWidth="1"/>
  </cols>
  <sheetData>
    <row r="1" spans="1:4" ht="18" x14ac:dyDescent="0.35">
      <c r="A1" s="3" t="s">
        <v>0</v>
      </c>
    </row>
    <row r="3" spans="1:4" x14ac:dyDescent="0.3">
      <c r="A3" t="s">
        <v>2</v>
      </c>
      <c r="B3" s="197"/>
    </row>
    <row r="5" spans="1:4" x14ac:dyDescent="0.3">
      <c r="A5" t="s">
        <v>392</v>
      </c>
      <c r="B5" s="197" t="s">
        <v>16</v>
      </c>
    </row>
    <row r="7" spans="1:4" x14ac:dyDescent="0.3">
      <c r="A7" t="s">
        <v>286</v>
      </c>
      <c r="B7" s="197" t="s">
        <v>290</v>
      </c>
    </row>
    <row r="9" spans="1:4" x14ac:dyDescent="0.3">
      <c r="A9" t="s">
        <v>330</v>
      </c>
      <c r="B9" s="198"/>
      <c r="C9" s="10"/>
    </row>
    <row r="11" spans="1:4" x14ac:dyDescent="0.3">
      <c r="A11" t="s">
        <v>205</v>
      </c>
      <c r="B11" s="199"/>
      <c r="C11" t="s">
        <v>127</v>
      </c>
      <c r="D11" s="39"/>
    </row>
    <row r="12" spans="1:4" x14ac:dyDescent="0.3">
      <c r="A12" t="s">
        <v>332</v>
      </c>
      <c r="B12" s="199"/>
      <c r="C12" t="s">
        <v>127</v>
      </c>
      <c r="D12" s="12"/>
    </row>
    <row r="13" spans="1:4" x14ac:dyDescent="0.3">
      <c r="A13" s="8" t="s">
        <v>333</v>
      </c>
      <c r="B13" s="12" t="str">
        <f>IF(ISERROR(B12/B11),"",B12/B11)</f>
        <v/>
      </c>
      <c r="C13" t="s">
        <v>211</v>
      </c>
      <c r="D13" s="12"/>
    </row>
    <row r="14" spans="1:4" x14ac:dyDescent="0.3">
      <c r="A14" s="8" t="s">
        <v>331</v>
      </c>
      <c r="B14" s="31" t="str">
        <f>IF(ISERROR('Übersicht LZ_NLZ'!F28*(1-Unternehmensdaten!B13)+'Übersicht LZ_NLZ'!H28*Unternehmensdaten!B13),"",'Übersicht LZ_NLZ'!F28*(1-Unternehmensdaten!B13)+'Übersicht LZ_NLZ'!H28*Unternehmensdaten!B13)</f>
        <v/>
      </c>
      <c r="D14" s="12"/>
    </row>
    <row r="15" spans="1:4" x14ac:dyDescent="0.3">
      <c r="B15" s="31"/>
      <c r="D15" s="12"/>
    </row>
    <row r="16" spans="1:4" x14ac:dyDescent="0.3">
      <c r="A16" t="s">
        <v>334</v>
      </c>
      <c r="B16" s="199"/>
      <c r="C16" t="s">
        <v>127</v>
      </c>
      <c r="D16" s="12"/>
    </row>
    <row r="17" spans="1:4" x14ac:dyDescent="0.3">
      <c r="A17" s="8" t="s">
        <v>252</v>
      </c>
      <c r="B17" s="31" t="str">
        <f>IF(ISERROR((B16/B11)*'Österreichische Werte'!F65+((Unternehmensdaten!B11-Unternehmensdaten!B16)/Unternehmensdaten!B11)*1.53%),"",(B16/B11)*'Österreichische Werte'!F65+((Unternehmensdaten!B11-Unternehmensdaten!B16)/Unternehmensdaten!B11)*1.53%)</f>
        <v/>
      </c>
      <c r="D17" s="12"/>
    </row>
    <row r="18" spans="1:4" x14ac:dyDescent="0.3">
      <c r="A18" s="8"/>
      <c r="B18" s="31"/>
      <c r="D18" s="12"/>
    </row>
    <row r="19" spans="1:4" x14ac:dyDescent="0.3">
      <c r="A19" t="s">
        <v>207</v>
      </c>
      <c r="B19" s="197" t="s">
        <v>209</v>
      </c>
    </row>
    <row r="20" spans="1:4" x14ac:dyDescent="0.3">
      <c r="A20" s="8"/>
      <c r="B20" s="31"/>
      <c r="D20" s="12"/>
    </row>
    <row r="21" spans="1:4" x14ac:dyDescent="0.3">
      <c r="A21" s="1" t="s">
        <v>311</v>
      </c>
    </row>
    <row r="22" spans="1:4" x14ac:dyDescent="0.3">
      <c r="A22" s="1" t="s">
        <v>335</v>
      </c>
    </row>
    <row r="23" spans="1:4" x14ac:dyDescent="0.3">
      <c r="A23" t="s">
        <v>450</v>
      </c>
      <c r="B23" s="198"/>
      <c r="C23" s="5" t="str">
        <f>IF(ISERROR(B23/$B$32),"Lohnsumme fehlt!",B23/$B$32)</f>
        <v>Lohnsumme fehlt!</v>
      </c>
    </row>
    <row r="24" spans="1:4" x14ac:dyDescent="0.3">
      <c r="A24" t="s">
        <v>310</v>
      </c>
      <c r="B24" s="198"/>
      <c r="C24" s="5" t="str">
        <f>IF(ISERROR(B24/$B$32),"Lohnsumme fehlt!",B24/$B$32)</f>
        <v>Lohnsumme fehlt!</v>
      </c>
    </row>
    <row r="25" spans="1:4" x14ac:dyDescent="0.3">
      <c r="A25" s="8"/>
    </row>
    <row r="26" spans="1:4" x14ac:dyDescent="0.3">
      <c r="A26" t="s">
        <v>70</v>
      </c>
      <c r="B26" s="198"/>
      <c r="D26" s="191" t="str">
        <f>IF(ISBLANK(B26),"",IF(AND(B11&gt;=50,B26&lt;('Österreichische Werte'!G40/2)),"ACHTUNG: Wert überprüfen!",IF(AND(B11&lt;50,B26&lt;('Österreichische Werte'!G40/4)),"ACHTUNG: Wert überprüfen!","")))</f>
        <v/>
      </c>
    </row>
    <row r="27" spans="1:4" x14ac:dyDescent="0.3">
      <c r="A27" t="s">
        <v>128</v>
      </c>
      <c r="B27" s="201"/>
      <c r="D27" s="191"/>
    </row>
    <row r="28" spans="1:4" x14ac:dyDescent="0.3">
      <c r="A28" t="s">
        <v>308</v>
      </c>
      <c r="B28" s="198"/>
    </row>
    <row r="29" spans="1:4" x14ac:dyDescent="0.3">
      <c r="A29" s="8" t="s">
        <v>274</v>
      </c>
      <c r="B29" s="181">
        <f>IF(OR(B26=0,B26=""),IF(B11&gt;=50,'Österreichische Werte'!G40,'Österreichische Werte'!G40/2),B26)+B27+B28</f>
        <v>0</v>
      </c>
      <c r="C29" s="12" t="str">
        <f>IF(ISERROR(B29/B32),"Lohnsumme fehlt!",B29/B32)</f>
        <v>Lohnsumme fehlt!</v>
      </c>
    </row>
    <row r="30" spans="1:4" x14ac:dyDescent="0.3">
      <c r="A30" s="8"/>
      <c r="B30" s="31"/>
      <c r="D30" s="12"/>
    </row>
    <row r="31" spans="1:4" x14ac:dyDescent="0.3">
      <c r="A31" s="1" t="s">
        <v>336</v>
      </c>
    </row>
    <row r="32" spans="1:4" x14ac:dyDescent="0.3">
      <c r="A32" t="s">
        <v>204</v>
      </c>
      <c r="B32" s="198"/>
      <c r="C32" s="1" t="s">
        <v>72</v>
      </c>
    </row>
    <row r="33" spans="1:4" x14ac:dyDescent="0.3">
      <c r="A33" t="s">
        <v>1</v>
      </c>
      <c r="B33" s="198"/>
      <c r="C33" s="5" t="str">
        <f>IF(ISERROR(B33/$B$32),"Lohnsumme fehlt!",B33/$B$32)</f>
        <v>Lohnsumme fehlt!</v>
      </c>
    </row>
    <row r="34" spans="1:4" x14ac:dyDescent="0.3">
      <c r="A34" s="204" t="s">
        <v>338</v>
      </c>
      <c r="B34" s="4" t="str">
        <f>IF(ISERROR(('Übersicht LZ_NLZ'!E16*(1-Unternehmensdaten!B13)+'Übersicht LZ_NLZ'!G16*Unternehmensdaten!B13)*C33),"Lohnsumme oder Anzahl Mitarbeiter fehlt!",('Übersicht LZ_NLZ'!E16*(1-Unternehmensdaten!B13)+'Übersicht LZ_NLZ'!G16*Unternehmensdaten!B13)*C33)</f>
        <v>Lohnsumme oder Anzahl Mitarbeiter fehlt!</v>
      </c>
    </row>
    <row r="35" spans="1:4" x14ac:dyDescent="0.3">
      <c r="D35" s="12"/>
    </row>
    <row r="36" spans="1:4" x14ac:dyDescent="0.3">
      <c r="A36" t="s">
        <v>337</v>
      </c>
      <c r="B36" s="199"/>
      <c r="C36" s="5" t="s">
        <v>300</v>
      </c>
      <c r="D36" s="191" t="str">
        <f>IF(ISBLANK(B36),"",IF(B36&lt;9,"ACHTUNG: Wert überprüfen!",""))</f>
        <v/>
      </c>
    </row>
    <row r="37" spans="1:4" x14ac:dyDescent="0.3">
      <c r="A37" t="s">
        <v>299</v>
      </c>
      <c r="B37" s="199"/>
      <c r="C37" s="5" t="s">
        <v>300</v>
      </c>
    </row>
    <row r="38" spans="1:4" x14ac:dyDescent="0.3">
      <c r="A38" t="s">
        <v>344</v>
      </c>
      <c r="B38" s="199"/>
      <c r="C38" s="5" t="str">
        <f>IF(ISERROR(B38/$B$32),"Lohnsumme fehlt!",B38/$B$32)</f>
        <v>Lohnsumme fehlt!</v>
      </c>
    </row>
    <row r="39" spans="1:4" x14ac:dyDescent="0.3">
      <c r="D39" s="12"/>
    </row>
    <row r="40" spans="1:4" x14ac:dyDescent="0.3">
      <c r="A40" s="8" t="s">
        <v>302</v>
      </c>
      <c r="B40" s="187">
        <f>IF(B5="Wien",B11*'Österreichische Werte'!E27,0)</f>
        <v>0</v>
      </c>
      <c r="C40" s="5" t="str">
        <f>IF(ISERROR(B40/B32),"Lohnsumme fehlt!",B40/B32)</f>
        <v>Lohnsumme fehlt!</v>
      </c>
    </row>
    <row r="41" spans="1:4" x14ac:dyDescent="0.3">
      <c r="A41" s="8" t="s">
        <v>303</v>
      </c>
      <c r="B41">
        <f>ROUNDDOWN(IF(B11&gt;=25,B11/25,0),0)</f>
        <v>0</v>
      </c>
      <c r="C41" s="5" t="s">
        <v>127</v>
      </c>
    </row>
    <row r="42" spans="1:4" x14ac:dyDescent="0.3">
      <c r="A42" t="s">
        <v>304</v>
      </c>
      <c r="B42" s="199"/>
      <c r="C42" s="5" t="s">
        <v>127</v>
      </c>
    </row>
    <row r="43" spans="1:4" x14ac:dyDescent="0.3">
      <c r="A43" s="8" t="s">
        <v>3</v>
      </c>
      <c r="B43" s="187">
        <f>IF(B42&gt;B41,0,(B41-B42)*'Österreichische Werte'!F7)</f>
        <v>0</v>
      </c>
      <c r="C43" s="5" t="str">
        <f>IF(ISERROR(IF(B42&gt;B41,0,B43/B32)),"Lohnsumme fehlt!",IF(B42&gt;B41,0,B43/B32))</f>
        <v>Lohnsumme fehlt!</v>
      </c>
    </row>
    <row r="45" spans="1:4" x14ac:dyDescent="0.3">
      <c r="A45" t="s">
        <v>341</v>
      </c>
      <c r="B45" s="198"/>
      <c r="C45" s="5" t="str">
        <f>IF(ISERROR(B45/$B$32),"Lohnsumme fehlt!",B45/$B$32)</f>
        <v>Lohnsumme fehlt!</v>
      </c>
    </row>
    <row r="46" spans="1:4" x14ac:dyDescent="0.3">
      <c r="B46" s="4"/>
    </row>
    <row r="47" spans="1:4" x14ac:dyDescent="0.3">
      <c r="A47" t="s">
        <v>309</v>
      </c>
      <c r="B47" s="198"/>
      <c r="C47" s="5" t="str">
        <f>IF(ISERROR(B47/$B$32),"Lohnsumme fehlt!",B47/$B$32)</f>
        <v>Lohnsumme fehlt!</v>
      </c>
    </row>
    <row r="48" spans="1:4" x14ac:dyDescent="0.3">
      <c r="A48" s="8"/>
      <c r="C48" s="5"/>
    </row>
    <row r="49" spans="1:3" x14ac:dyDescent="0.3">
      <c r="A49" s="1" t="s">
        <v>100</v>
      </c>
      <c r="C49" s="5"/>
    </row>
    <row r="50" spans="1:3" x14ac:dyDescent="0.3">
      <c r="A50" t="s">
        <v>307</v>
      </c>
      <c r="B50" s="198"/>
      <c r="C50" s="5" t="str">
        <f>IF(ISERROR(B50/B32),"Lohnsumme fehlt!",B50/B32)</f>
        <v>Lohnsumme fehlt!</v>
      </c>
    </row>
    <row r="52" spans="1:3" x14ac:dyDescent="0.3">
      <c r="C52" s="1" t="s">
        <v>72</v>
      </c>
    </row>
    <row r="53" spans="1:3" x14ac:dyDescent="0.3">
      <c r="A53" s="1" t="s">
        <v>430</v>
      </c>
      <c r="B53" s="202">
        <f>IF(ISBLANK(B54),SUM(B56:B74),B54)</f>
        <v>0</v>
      </c>
      <c r="C53" s="5" t="str">
        <f>IF(ISERROR(B53/$B$32),"Lohnsumme fehlt!",B53/$B$32)</f>
        <v>Lohnsumme fehlt!</v>
      </c>
    </row>
    <row r="54" spans="1:3" x14ac:dyDescent="0.3">
      <c r="A54" t="s">
        <v>328</v>
      </c>
      <c r="B54" s="198"/>
      <c r="C54" s="5"/>
    </row>
    <row r="55" spans="1:3" x14ac:dyDescent="0.3">
      <c r="A55" t="s">
        <v>327</v>
      </c>
      <c r="C55" s="5"/>
    </row>
    <row r="56" spans="1:3" x14ac:dyDescent="0.3">
      <c r="A56" t="s">
        <v>315</v>
      </c>
      <c r="B56" s="198"/>
    </row>
    <row r="57" spans="1:3" x14ac:dyDescent="0.3">
      <c r="A57" t="s">
        <v>312</v>
      </c>
      <c r="B57" s="198"/>
    </row>
    <row r="58" spans="1:3" x14ac:dyDescent="0.3">
      <c r="A58" t="s">
        <v>313</v>
      </c>
      <c r="B58" s="198"/>
    </row>
    <row r="59" spans="1:3" x14ac:dyDescent="0.3">
      <c r="A59" t="s">
        <v>314</v>
      </c>
      <c r="B59" s="198"/>
    </row>
    <row r="60" spans="1:3" x14ac:dyDescent="0.3">
      <c r="A60" t="s">
        <v>316</v>
      </c>
      <c r="B60" s="198"/>
    </row>
    <row r="61" spans="1:3" x14ac:dyDescent="0.3">
      <c r="A61" t="s">
        <v>317</v>
      </c>
      <c r="B61" s="198"/>
    </row>
    <row r="62" spans="1:3" x14ac:dyDescent="0.3">
      <c r="A62" t="s">
        <v>318</v>
      </c>
      <c r="B62" s="198"/>
    </row>
    <row r="63" spans="1:3" x14ac:dyDescent="0.3">
      <c r="A63" t="s">
        <v>319</v>
      </c>
      <c r="B63" s="198"/>
    </row>
    <row r="64" spans="1:3" x14ac:dyDescent="0.3">
      <c r="A64" t="s">
        <v>320</v>
      </c>
      <c r="B64" s="198"/>
    </row>
    <row r="65" spans="1:2" x14ac:dyDescent="0.3">
      <c r="A65" t="s">
        <v>321</v>
      </c>
      <c r="B65" s="198"/>
    </row>
    <row r="66" spans="1:2" x14ac:dyDescent="0.3">
      <c r="A66" t="s">
        <v>322</v>
      </c>
      <c r="B66" s="198"/>
    </row>
    <row r="67" spans="1:2" ht="28.8" x14ac:dyDescent="0.3">
      <c r="A67" s="9" t="s">
        <v>342</v>
      </c>
      <c r="B67" s="198"/>
    </row>
    <row r="68" spans="1:2" x14ac:dyDescent="0.3">
      <c r="A68" s="9" t="s">
        <v>329</v>
      </c>
      <c r="B68" s="198"/>
    </row>
    <row r="69" spans="1:2" x14ac:dyDescent="0.3">
      <c r="A69" t="s">
        <v>323</v>
      </c>
      <c r="B69" s="198"/>
    </row>
    <row r="70" spans="1:2" ht="28.8" x14ac:dyDescent="0.3">
      <c r="A70" s="9" t="s">
        <v>343</v>
      </c>
      <c r="B70" s="198"/>
    </row>
    <row r="71" spans="1:2" x14ac:dyDescent="0.3">
      <c r="A71" t="s">
        <v>324</v>
      </c>
      <c r="B71" s="198"/>
    </row>
    <row r="72" spans="1:2" x14ac:dyDescent="0.3">
      <c r="A72" s="9" t="s">
        <v>325</v>
      </c>
      <c r="B72" s="198"/>
    </row>
    <row r="73" spans="1:2" x14ac:dyDescent="0.3">
      <c r="A73" t="s">
        <v>326</v>
      </c>
      <c r="B73" s="198"/>
    </row>
    <row r="74" spans="1:2" x14ac:dyDescent="0.3">
      <c r="A74" t="s">
        <v>134</v>
      </c>
      <c r="B74" s="198"/>
    </row>
    <row r="76" spans="1:2" x14ac:dyDescent="0.3">
      <c r="A76" t="s">
        <v>340</v>
      </c>
      <c r="B76" s="200">
        <v>5.0000000000000001E-3</v>
      </c>
    </row>
    <row r="77" spans="1:2" x14ac:dyDescent="0.3">
      <c r="A77" t="s">
        <v>339</v>
      </c>
      <c r="B77" s="200">
        <v>0.05</v>
      </c>
    </row>
    <row r="80" spans="1:2" x14ac:dyDescent="0.3">
      <c r="A80" t="s">
        <v>454</v>
      </c>
      <c r="B80" s="197" t="s">
        <v>448</v>
      </c>
    </row>
    <row r="82" spans="1:1" x14ac:dyDescent="0.3">
      <c r="A82" t="s">
        <v>478</v>
      </c>
    </row>
    <row r="83" spans="1:1" x14ac:dyDescent="0.3">
      <c r="A83" t="s">
        <v>493</v>
      </c>
    </row>
    <row r="84" spans="1:1" x14ac:dyDescent="0.3">
      <c r="A84" t="s">
        <v>382</v>
      </c>
    </row>
  </sheetData>
  <sheetProtection algorithmName="SHA-512" hashValue="K88IzhdmdXdA9wstax3MOsZwIcCHYZerz8gZ70WBE1hUyNhuJfg1qXZppXT6Qwv+69ypa2sWYzFONGmdAgvp1A==" saltValue="SZhYq3nWaqwh5F9JIdTsVw==" spinCount="100000" sheet="1" objects="1" scenarios="1"/>
  <dataValidations count="3">
    <dataValidation type="list" allowBlank="1" showInputMessage="1" showErrorMessage="1" sqref="B5" xr:uid="{00000000-0002-0000-0000-000000000000}">
      <formula1>Bundesland</formula1>
    </dataValidation>
    <dataValidation type="list" allowBlank="1" showInputMessage="1" showErrorMessage="1" sqref="B7" xr:uid="{00000000-0002-0000-0000-000001000000}">
      <formula1>Unternehmensart</formula1>
    </dataValidation>
    <dataValidation type="decimal" operator="greaterThanOrEqual" allowBlank="1" showInputMessage="1" showErrorMessage="1" sqref="B36" xr:uid="{00000000-0002-0000-0000-000003000000}">
      <formula1>0</formula1>
    </dataValidation>
  </dataValidations>
  <pageMargins left="0.70866141732283472" right="0.70866141732283472" top="0.78740157480314965" bottom="0.78740157480314965" header="0.31496062992125984" footer="0.31496062992125984"/>
  <pageSetup paperSize="9" scale="63"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'Statistische Daten'!$A$3:$A$4</xm:f>
          </x14:formula1>
          <xm:sqref>B19</xm:sqref>
        </x14:dataValidation>
        <x14:dataValidation type="list" allowBlank="1" showInputMessage="1" showErrorMessage="1" xr:uid="{F693F6D7-3E8D-4D19-B74B-9F21847421F8}">
          <x14:formula1>
            <xm:f>'Österreichische Werte'!$F$100:$F$101</xm:f>
          </x14:formula1>
          <xm:sqref>B80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S155"/>
  <sheetViews>
    <sheetView zoomScale="80" zoomScaleNormal="80" workbookViewId="0">
      <pane ySplit="2" topLeftCell="A3" activePane="bottomLeft" state="frozen"/>
      <selection activeCell="D56" sqref="D56"/>
      <selection pane="bottomLeft" activeCell="B71" sqref="B71"/>
    </sheetView>
  </sheetViews>
  <sheetFormatPr baseColWidth="10" defaultRowHeight="14.4" x14ac:dyDescent="0.3"/>
  <cols>
    <col min="1" max="1" width="8" style="13" bestFit="1" customWidth="1"/>
    <col min="2" max="2" width="77.109375" customWidth="1"/>
    <col min="3" max="3" width="35.6640625" bestFit="1" customWidth="1"/>
    <col min="4" max="4" width="8.33203125" style="12" customWidth="1"/>
    <col min="5" max="5" width="9.109375" style="12" bestFit="1" customWidth="1"/>
    <col min="6" max="7" width="9.33203125" style="6" customWidth="1"/>
    <col min="8" max="12" width="9.33203125" customWidth="1"/>
    <col min="16" max="16" width="17.6640625" bestFit="1" customWidth="1"/>
  </cols>
  <sheetData>
    <row r="1" spans="1:14" x14ac:dyDescent="0.3">
      <c r="A1" s="11" t="s">
        <v>121</v>
      </c>
      <c r="F1" s="25" t="s">
        <v>108</v>
      </c>
      <c r="G1" s="25"/>
      <c r="H1" s="25"/>
      <c r="I1" s="25"/>
      <c r="J1" s="25"/>
      <c r="K1" s="25"/>
      <c r="L1" s="25"/>
    </row>
    <row r="2" spans="1:14" x14ac:dyDescent="0.3">
      <c r="F2" s="26" t="s">
        <v>109</v>
      </c>
      <c r="G2" s="26" t="s">
        <v>110</v>
      </c>
      <c r="H2" s="26" t="s">
        <v>111</v>
      </c>
      <c r="I2" s="26" t="s">
        <v>112</v>
      </c>
      <c r="J2" s="26" t="s">
        <v>113</v>
      </c>
      <c r="K2" s="26" t="s">
        <v>114</v>
      </c>
      <c r="L2" s="30" t="s">
        <v>131</v>
      </c>
      <c r="M2" s="26"/>
      <c r="N2" s="26" t="s">
        <v>132</v>
      </c>
    </row>
    <row r="3" spans="1:14" x14ac:dyDescent="0.3">
      <c r="A3" s="13" t="s">
        <v>73</v>
      </c>
      <c r="B3" s="8" t="s">
        <v>74</v>
      </c>
      <c r="E3" s="12">
        <v>1</v>
      </c>
      <c r="F3" s="163">
        <f>'KV Daten DFG 2025'!C2</f>
        <v>14.47</v>
      </c>
      <c r="G3" s="163">
        <f>'KV Daten DFG 2025'!C3</f>
        <v>13.04</v>
      </c>
      <c r="H3" s="163">
        <f>'KV Daten DFG 2025'!C4</f>
        <v>12.74</v>
      </c>
      <c r="I3" s="163">
        <f>'KV Daten DFG 2025'!C5</f>
        <v>12.53</v>
      </c>
      <c r="J3" s="163">
        <f>'KV Daten DFG 2025'!C6</f>
        <v>12.24</v>
      </c>
      <c r="K3" s="163">
        <f>'KV Daten DFG 2025'!C7</f>
        <v>12</v>
      </c>
      <c r="L3" s="203"/>
    </row>
    <row r="4" spans="1:14" ht="28.8" x14ac:dyDescent="0.3">
      <c r="A4" s="13" t="s">
        <v>75</v>
      </c>
      <c r="B4" s="14" t="s">
        <v>206</v>
      </c>
      <c r="C4" s="9"/>
      <c r="D4" s="15"/>
      <c r="E4" s="16">
        <f>IF(ISBLANK(Unternehmensdaten!B12),'Übersicht LZ_NLZ'!F35,Unternehmensdaten!B14)</f>
        <v>0.24692578598144757</v>
      </c>
      <c r="F4" s="164">
        <f>F3*$E$4</f>
        <v>3.5730161231515467</v>
      </c>
      <c r="G4" s="164">
        <f t="shared" ref="G4:L4" si="0">G3*$E$4</f>
        <v>3.2199122491980763</v>
      </c>
      <c r="H4" s="164">
        <f t="shared" si="0"/>
        <v>3.1458345134036421</v>
      </c>
      <c r="I4" s="164">
        <f t="shared" si="0"/>
        <v>3.0939800983475378</v>
      </c>
      <c r="J4" s="164">
        <f t="shared" si="0"/>
        <v>3.0223716204129185</v>
      </c>
      <c r="K4" s="164">
        <f t="shared" si="0"/>
        <v>2.963109431777371</v>
      </c>
      <c r="L4" s="164">
        <f t="shared" si="0"/>
        <v>0</v>
      </c>
    </row>
    <row r="5" spans="1:14" ht="7.2" customHeight="1" x14ac:dyDescent="0.3"/>
    <row r="6" spans="1:14" x14ac:dyDescent="0.3">
      <c r="C6" s="1" t="s">
        <v>76</v>
      </c>
      <c r="D6" s="17"/>
      <c r="E6" s="17">
        <f>SUM(E4:E4)</f>
        <v>0.24692578598144757</v>
      </c>
      <c r="F6" s="165">
        <f>SUM(F4:F4)</f>
        <v>3.5730161231515467</v>
      </c>
      <c r="G6" s="165">
        <f t="shared" ref="G6:L6" si="1">SUM(G4:G4)</f>
        <v>3.2199122491980763</v>
      </c>
      <c r="H6" s="165">
        <f t="shared" si="1"/>
        <v>3.1458345134036421</v>
      </c>
      <c r="I6" s="165">
        <f t="shared" si="1"/>
        <v>3.0939800983475378</v>
      </c>
      <c r="J6" s="165">
        <f t="shared" si="1"/>
        <v>3.0223716204129185</v>
      </c>
      <c r="K6" s="165">
        <f t="shared" si="1"/>
        <v>2.963109431777371</v>
      </c>
      <c r="L6" s="165">
        <f t="shared" si="1"/>
        <v>0</v>
      </c>
    </row>
    <row r="7" spans="1:14" ht="7.2" customHeight="1" x14ac:dyDescent="0.3"/>
    <row r="8" spans="1:14" x14ac:dyDescent="0.3">
      <c r="A8" s="13" t="s">
        <v>77</v>
      </c>
      <c r="B8" s="8" t="s">
        <v>117</v>
      </c>
    </row>
    <row r="9" spans="1:14" x14ac:dyDescent="0.3">
      <c r="B9" t="s">
        <v>38</v>
      </c>
      <c r="D9" s="12">
        <f>'Österreichische Werte'!B79</f>
        <v>0.1255</v>
      </c>
    </row>
    <row r="10" spans="1:14" x14ac:dyDescent="0.3">
      <c r="B10" t="s">
        <v>39</v>
      </c>
      <c r="D10" s="12">
        <f>'Österreichische Werte'!B80</f>
        <v>1.0999999999999999E-2</v>
      </c>
    </row>
    <row r="11" spans="1:14" x14ac:dyDescent="0.3">
      <c r="B11" t="s">
        <v>40</v>
      </c>
      <c r="D11" s="12">
        <f>'Österreichische Werte'!B81</f>
        <v>3.78E-2</v>
      </c>
    </row>
    <row r="12" spans="1:14" x14ac:dyDescent="0.3">
      <c r="B12" t="s">
        <v>91</v>
      </c>
      <c r="D12" s="12">
        <f>'Österreichische Werte'!B82+'Österreichische Werte'!B83</f>
        <v>3.0499999999999999E-2</v>
      </c>
    </row>
    <row r="13" spans="1:14" x14ac:dyDescent="0.3">
      <c r="B13" t="s">
        <v>115</v>
      </c>
      <c r="D13" s="12">
        <f>'Österreichische Werte'!B84</f>
        <v>5.0000000000000001E-3</v>
      </c>
    </row>
    <row r="14" spans="1:14" x14ac:dyDescent="0.3">
      <c r="B14" s="8" t="s">
        <v>116</v>
      </c>
      <c r="D14" s="18">
        <f>SUM(D9:D13)</f>
        <v>0.20980000000000001</v>
      </c>
    </row>
    <row r="15" spans="1:14" x14ac:dyDescent="0.3">
      <c r="B15" t="s">
        <v>80</v>
      </c>
      <c r="D15" s="12">
        <f>'Österreichische Werte'!B87</f>
        <v>3.6999999999999998E-2</v>
      </c>
    </row>
    <row r="16" spans="1:14" x14ac:dyDescent="0.3">
      <c r="B16" t="s">
        <v>81</v>
      </c>
      <c r="D16" s="38">
        <f>VLOOKUP(Unternehmensdaten!B5,DZ,2,1)</f>
        <v>3.5999999999999999E-3</v>
      </c>
    </row>
    <row r="17" spans="1:15" x14ac:dyDescent="0.3">
      <c r="B17" t="s">
        <v>44</v>
      </c>
      <c r="D17" s="12">
        <f>'Österreichische Werte'!B89</f>
        <v>0.03</v>
      </c>
    </row>
    <row r="18" spans="1:15" x14ac:dyDescent="0.3">
      <c r="B18" t="s">
        <v>451</v>
      </c>
      <c r="D18" s="218">
        <f>IF(Unternehmensdaten!B80="ja",'Österreichische Werte'!B100,)</f>
        <v>2E-3</v>
      </c>
    </row>
    <row r="19" spans="1:15" x14ac:dyDescent="0.3">
      <c r="B19" t="s">
        <v>82</v>
      </c>
      <c r="D19" s="17">
        <f>SUM(D14:D18)</f>
        <v>0.28239999999999998</v>
      </c>
    </row>
    <row r="20" spans="1:15" x14ac:dyDescent="0.3">
      <c r="A20" s="19">
        <f>D19</f>
        <v>0.28239999999999998</v>
      </c>
      <c r="B20" t="s">
        <v>83</v>
      </c>
      <c r="E20" s="12">
        <f>F20/$F$3</f>
        <v>0.35213184196116071</v>
      </c>
      <c r="F20" s="163">
        <f t="shared" ref="F20:L20" si="2">(F3+F6)*$A$20</f>
        <v>5.0953477531779958</v>
      </c>
      <c r="G20" s="163">
        <f t="shared" si="2"/>
        <v>4.5917992191735362</v>
      </c>
      <c r="H20" s="163">
        <f t="shared" si="2"/>
        <v>4.4861596665851886</v>
      </c>
      <c r="I20" s="163">
        <f t="shared" si="2"/>
        <v>4.4122119797733443</v>
      </c>
      <c r="J20" s="163">
        <f t="shared" si="2"/>
        <v>4.3100937456046085</v>
      </c>
      <c r="K20" s="163">
        <f t="shared" si="2"/>
        <v>4.2255821035339292</v>
      </c>
      <c r="L20" s="163">
        <f t="shared" si="2"/>
        <v>0</v>
      </c>
      <c r="M20" s="12"/>
    </row>
    <row r="21" spans="1:15" ht="7.2" customHeight="1" x14ac:dyDescent="0.3"/>
    <row r="22" spans="1:15" x14ac:dyDescent="0.3">
      <c r="C22" s="1" t="s">
        <v>84</v>
      </c>
      <c r="E22" s="17">
        <f>SUM(E6:E21)</f>
        <v>0.59905762794260831</v>
      </c>
      <c r="F22" s="165">
        <f t="shared" ref="F22:L22" si="3">F3*$E$22</f>
        <v>8.6683638763295434</v>
      </c>
      <c r="G22" s="165">
        <f t="shared" si="3"/>
        <v>7.8117114683716116</v>
      </c>
      <c r="H22" s="165">
        <f t="shared" si="3"/>
        <v>7.6319941799888298</v>
      </c>
      <c r="I22" s="165">
        <f t="shared" si="3"/>
        <v>7.5061920781208817</v>
      </c>
      <c r="J22" s="165">
        <f t="shared" si="3"/>
        <v>7.3324653660175256</v>
      </c>
      <c r="K22" s="165">
        <f t="shared" si="3"/>
        <v>7.1886915353112997</v>
      </c>
      <c r="L22" s="165">
        <f t="shared" si="3"/>
        <v>0</v>
      </c>
    </row>
    <row r="23" spans="1:15" ht="7.2" customHeight="1" x14ac:dyDescent="0.3">
      <c r="C23" s="1"/>
      <c r="E23" s="17"/>
      <c r="F23" s="20"/>
    </row>
    <row r="24" spans="1:15" x14ac:dyDescent="0.3">
      <c r="A24" s="13" t="s">
        <v>85</v>
      </c>
      <c r="B24" t="s">
        <v>86</v>
      </c>
    </row>
    <row r="25" spans="1:15" x14ac:dyDescent="0.3">
      <c r="B25" t="s">
        <v>87</v>
      </c>
      <c r="D25" s="12">
        <f>1/12</f>
        <v>8.3333333333333329E-2</v>
      </c>
      <c r="O25" s="5"/>
    </row>
    <row r="26" spans="1:15" x14ac:dyDescent="0.3">
      <c r="B26" t="s">
        <v>88</v>
      </c>
      <c r="D26" s="12">
        <f>1/12</f>
        <v>8.3333333333333329E-2</v>
      </c>
    </row>
    <row r="27" spans="1:15" x14ac:dyDescent="0.3">
      <c r="D27" s="17">
        <f>SUM(D25:D26)</f>
        <v>0.16666666666666666</v>
      </c>
    </row>
    <row r="28" spans="1:15" x14ac:dyDescent="0.3">
      <c r="A28" s="19">
        <f>D27</f>
        <v>0.16666666666666666</v>
      </c>
      <c r="B28" t="s">
        <v>83</v>
      </c>
      <c r="E28" s="12">
        <f>F28/$F$3</f>
        <v>0.20782096433024122</v>
      </c>
      <c r="F28" s="163">
        <f t="shared" ref="F28:L28" si="4">(F3+F4)*$A$28</f>
        <v>3.0071693538585906</v>
      </c>
      <c r="G28" s="163">
        <f t="shared" si="4"/>
        <v>2.7099853748663456</v>
      </c>
      <c r="H28" s="163">
        <f t="shared" si="4"/>
        <v>2.6476390855672736</v>
      </c>
      <c r="I28" s="163">
        <f t="shared" si="4"/>
        <v>2.6039966830579226</v>
      </c>
      <c r="J28" s="163">
        <f t="shared" si="4"/>
        <v>2.5437286034021529</v>
      </c>
      <c r="K28" s="163">
        <f t="shared" si="4"/>
        <v>2.4938515719628951</v>
      </c>
      <c r="L28" s="163">
        <f t="shared" si="4"/>
        <v>0</v>
      </c>
      <c r="M28" s="12"/>
    </row>
    <row r="29" spans="1:15" ht="7.2" customHeight="1" x14ac:dyDescent="0.3"/>
    <row r="30" spans="1:15" x14ac:dyDescent="0.3">
      <c r="C30" s="1" t="s">
        <v>89</v>
      </c>
      <c r="E30" s="17">
        <f>SUM(E22:E29)</f>
        <v>0.80687859227284953</v>
      </c>
      <c r="F30" s="165">
        <f t="shared" ref="F30:L30" si="5">F3*$E$30</f>
        <v>11.675533230188133</v>
      </c>
      <c r="G30" s="165">
        <f t="shared" si="5"/>
        <v>10.521696843237956</v>
      </c>
      <c r="H30" s="165">
        <f t="shared" si="5"/>
        <v>10.279633265556104</v>
      </c>
      <c r="I30" s="165">
        <f t="shared" si="5"/>
        <v>10.110188761178804</v>
      </c>
      <c r="J30" s="165">
        <f t="shared" si="5"/>
        <v>9.8761939694196776</v>
      </c>
      <c r="K30" s="165">
        <f t="shared" si="5"/>
        <v>9.6825431072741939</v>
      </c>
      <c r="L30" s="165">
        <f t="shared" si="5"/>
        <v>0</v>
      </c>
    </row>
    <row r="31" spans="1:15" ht="7.2" customHeight="1" x14ac:dyDescent="0.3"/>
    <row r="32" spans="1:15" x14ac:dyDescent="0.3">
      <c r="A32" s="13" t="s">
        <v>90</v>
      </c>
      <c r="B32" s="8" t="s">
        <v>118</v>
      </c>
    </row>
    <row r="33" spans="1:14" x14ac:dyDescent="0.3">
      <c r="B33" t="s">
        <v>38</v>
      </c>
      <c r="D33" s="12">
        <f>'Österreichische Werte'!B79</f>
        <v>0.1255</v>
      </c>
    </row>
    <row r="34" spans="1:14" x14ac:dyDescent="0.3">
      <c r="B34" t="s">
        <v>39</v>
      </c>
      <c r="D34" s="12">
        <f>'Österreichische Werte'!B80</f>
        <v>1.0999999999999999E-2</v>
      </c>
    </row>
    <row r="35" spans="1:14" x14ac:dyDescent="0.3">
      <c r="B35" t="s">
        <v>40</v>
      </c>
      <c r="D35" s="12">
        <f>'Österreichische Werte'!B81</f>
        <v>3.78E-2</v>
      </c>
    </row>
    <row r="36" spans="1:14" x14ac:dyDescent="0.3">
      <c r="B36" t="s">
        <v>91</v>
      </c>
      <c r="D36" s="12">
        <f>'Österreichische Werte'!B82+'Österreichische Werte'!B83</f>
        <v>3.0499999999999999E-2</v>
      </c>
    </row>
    <row r="37" spans="1:14" x14ac:dyDescent="0.3">
      <c r="B37" t="s">
        <v>78</v>
      </c>
      <c r="D37" s="18">
        <f>SUM(D33:D36)</f>
        <v>0.20480000000000001</v>
      </c>
    </row>
    <row r="38" spans="1:14" x14ac:dyDescent="0.3">
      <c r="B38" t="s">
        <v>80</v>
      </c>
      <c r="D38" s="12">
        <f>'Österreichische Werte'!B87</f>
        <v>3.6999999999999998E-2</v>
      </c>
    </row>
    <row r="39" spans="1:14" x14ac:dyDescent="0.3">
      <c r="B39" t="s">
        <v>81</v>
      </c>
      <c r="D39" s="38">
        <f>D16</f>
        <v>3.5999999999999999E-3</v>
      </c>
    </row>
    <row r="40" spans="1:14" x14ac:dyDescent="0.3">
      <c r="B40" t="s">
        <v>44</v>
      </c>
      <c r="D40" s="12">
        <f>'Österreichische Werte'!B89</f>
        <v>0.03</v>
      </c>
    </row>
    <row r="41" spans="1:14" x14ac:dyDescent="0.3">
      <c r="B41" t="s">
        <v>451</v>
      </c>
      <c r="D41" s="218">
        <f>IF(Unternehmensdaten!B80="ja",'Österreichische Werte'!B100,)</f>
        <v>2E-3</v>
      </c>
    </row>
    <row r="42" spans="1:14" x14ac:dyDescent="0.3">
      <c r="B42" t="s">
        <v>92</v>
      </c>
      <c r="D42" s="17">
        <f>SUM(D37:D41)</f>
        <v>0.27739999999999998</v>
      </c>
    </row>
    <row r="43" spans="1:14" x14ac:dyDescent="0.3">
      <c r="A43" s="19">
        <f>D42</f>
        <v>0.27739999999999998</v>
      </c>
      <c r="B43" t="s">
        <v>93</v>
      </c>
      <c r="E43" s="12">
        <f>F43/$F$3</f>
        <v>5.7649535505208911E-2</v>
      </c>
      <c r="F43" s="163">
        <f t="shared" ref="F43:L43" si="6">F28*$A$43</f>
        <v>0.83418877876037301</v>
      </c>
      <c r="G43" s="163">
        <f t="shared" si="6"/>
        <v>0.75174994298792419</v>
      </c>
      <c r="H43" s="163">
        <f t="shared" si="6"/>
        <v>0.73445508233636159</v>
      </c>
      <c r="I43" s="163">
        <f t="shared" si="6"/>
        <v>0.72234867988026774</v>
      </c>
      <c r="J43" s="163">
        <f t="shared" si="6"/>
        <v>0.70563031458375713</v>
      </c>
      <c r="K43" s="163">
        <f t="shared" si="6"/>
        <v>0.69179442606250707</v>
      </c>
      <c r="L43" s="163">
        <f t="shared" si="6"/>
        <v>0</v>
      </c>
    </row>
    <row r="44" spans="1:14" ht="7.2" customHeight="1" x14ac:dyDescent="0.3"/>
    <row r="45" spans="1:14" x14ac:dyDescent="0.3">
      <c r="C45" s="1" t="s">
        <v>94</v>
      </c>
      <c r="E45" s="17">
        <f>SUM(E30:E44)</f>
        <v>0.86452812777805843</v>
      </c>
      <c r="F45" s="165">
        <f t="shared" ref="F45:L45" si="7">F3*$E$45</f>
        <v>12.509722008948506</v>
      </c>
      <c r="G45" s="165">
        <f t="shared" si="7"/>
        <v>11.273446786225881</v>
      </c>
      <c r="H45" s="165">
        <f t="shared" si="7"/>
        <v>11.014088347892464</v>
      </c>
      <c r="I45" s="165">
        <f t="shared" si="7"/>
        <v>10.832537441059072</v>
      </c>
      <c r="J45" s="165">
        <f t="shared" si="7"/>
        <v>10.581824284003435</v>
      </c>
      <c r="K45" s="165">
        <f t="shared" si="7"/>
        <v>10.374337533336702</v>
      </c>
      <c r="L45" s="165">
        <f t="shared" si="7"/>
        <v>0</v>
      </c>
      <c r="N45" s="6"/>
    </row>
    <row r="46" spans="1:14" ht="7.2" customHeight="1" x14ac:dyDescent="0.3"/>
    <row r="47" spans="1:14" x14ac:dyDescent="0.3">
      <c r="A47" s="13" t="s">
        <v>96</v>
      </c>
      <c r="B47" s="8" t="s">
        <v>79</v>
      </c>
      <c r="C47" s="1"/>
      <c r="E47" s="17"/>
      <c r="F47" s="20"/>
      <c r="G47" s="20"/>
      <c r="H47" s="20"/>
      <c r="I47" s="20"/>
      <c r="J47" s="20"/>
      <c r="K47" s="20"/>
      <c r="L47" s="20"/>
      <c r="N47" s="6"/>
    </row>
    <row r="48" spans="1:14" x14ac:dyDescent="0.3">
      <c r="B48" t="s">
        <v>197</v>
      </c>
      <c r="D48" s="38">
        <f>IF(Unternehmensdaten!B17="",'Österreichische Werte'!B50,Unternehmensdaten!B17)</f>
        <v>1.5299999999999999E-2</v>
      </c>
      <c r="H48" s="6"/>
      <c r="I48" s="6"/>
      <c r="J48" s="6"/>
      <c r="K48" s="6"/>
      <c r="L48" s="6"/>
    </row>
    <row r="49" spans="1:17" x14ac:dyDescent="0.3">
      <c r="A49" s="19">
        <f>D48</f>
        <v>1.5299999999999999E-2</v>
      </c>
      <c r="B49" t="s">
        <v>83</v>
      </c>
      <c r="E49" s="12">
        <f>F49/F3</f>
        <v>2.2257625279768833E-2</v>
      </c>
      <c r="F49" s="163">
        <f>(F3+F4+F28)*$A$49</f>
        <v>0.32206783779825504</v>
      </c>
      <c r="G49" s="163">
        <f t="shared" ref="G49:L49" si="8">(G3+G4+G28)*$A$49</f>
        <v>0.29023943364818561</v>
      </c>
      <c r="H49" s="163">
        <f t="shared" si="8"/>
        <v>0.28356214606425501</v>
      </c>
      <c r="I49" s="163">
        <f t="shared" si="8"/>
        <v>0.27888804475550349</v>
      </c>
      <c r="J49" s="163">
        <f t="shared" si="8"/>
        <v>0.27243333342437059</v>
      </c>
      <c r="K49" s="163">
        <f t="shared" si="8"/>
        <v>0.26709150335722603</v>
      </c>
      <c r="L49" s="163">
        <f t="shared" si="8"/>
        <v>0</v>
      </c>
    </row>
    <row r="50" spans="1:17" ht="7.2" customHeight="1" x14ac:dyDescent="0.3"/>
    <row r="51" spans="1:17" x14ac:dyDescent="0.3">
      <c r="A51" s="19"/>
      <c r="C51" s="1" t="s">
        <v>102</v>
      </c>
      <c r="E51" s="17">
        <f>SUM(E45:E50)</f>
        <v>0.88678575305782725</v>
      </c>
      <c r="F51" s="165">
        <f>F3*$E$51</f>
        <v>12.83178984674676</v>
      </c>
      <c r="G51" s="165">
        <f t="shared" ref="G51:L51" si="9">G3*$E$51</f>
        <v>11.563686219874066</v>
      </c>
      <c r="H51" s="165">
        <f t="shared" si="9"/>
        <v>11.29765049395672</v>
      </c>
      <c r="I51" s="165">
        <f t="shared" si="9"/>
        <v>11.111425485814575</v>
      </c>
      <c r="J51" s="165">
        <f t="shared" si="9"/>
        <v>10.854257617427805</v>
      </c>
      <c r="K51" s="165">
        <f t="shared" si="9"/>
        <v>10.641429036693927</v>
      </c>
      <c r="L51" s="165">
        <f t="shared" si="9"/>
        <v>0</v>
      </c>
    </row>
    <row r="52" spans="1:17" ht="7.2" customHeight="1" x14ac:dyDescent="0.3"/>
    <row r="53" spans="1:17" x14ac:dyDescent="0.3">
      <c r="B53" s="32" t="s">
        <v>122</v>
      </c>
      <c r="C53" s="32"/>
      <c r="D53" s="34"/>
      <c r="E53" s="34"/>
      <c r="F53" s="166">
        <f>F51+F3</f>
        <v>27.301789846746761</v>
      </c>
      <c r="G53" s="166">
        <f t="shared" ref="G53:L53" si="10">G51+G3</f>
        <v>24.603686219874064</v>
      </c>
      <c r="H53" s="166">
        <f t="shared" si="10"/>
        <v>24.037650493956718</v>
      </c>
      <c r="I53" s="166">
        <f t="shared" si="10"/>
        <v>23.641425485814572</v>
      </c>
      <c r="J53" s="166">
        <f t="shared" si="10"/>
        <v>23.094257617427807</v>
      </c>
      <c r="K53" s="166">
        <f t="shared" si="10"/>
        <v>22.641429036693928</v>
      </c>
      <c r="L53" s="166">
        <f t="shared" si="10"/>
        <v>0</v>
      </c>
    </row>
    <row r="54" spans="1:17" ht="7.2" customHeight="1" x14ac:dyDescent="0.3"/>
    <row r="55" spans="1:17" x14ac:dyDescent="0.3">
      <c r="A55" s="13" t="s">
        <v>103</v>
      </c>
      <c r="B55" s="8" t="s">
        <v>130</v>
      </c>
      <c r="H55" s="6"/>
      <c r="I55" s="6"/>
      <c r="J55" s="6"/>
      <c r="K55" s="6"/>
      <c r="L55" s="6"/>
    </row>
    <row r="56" spans="1:17" x14ac:dyDescent="0.3">
      <c r="B56" t="s">
        <v>97</v>
      </c>
      <c r="D56" s="38">
        <f>IF(OR(ISERROR(IF(Unternehmensdaten!C45=0,'Statistische Daten'!H59,Unternehmensdaten!C45)),Unternehmensdaten!C45="Lohnsumme fehlt!"),'Statistische Daten'!H59,IF(Unternehmensdaten!C45=0,'Statistische Daten'!H59,Unternehmensdaten!C45))</f>
        <v>2.7300000000000001E-2</v>
      </c>
      <c r="F56" s="21"/>
      <c r="G56" s="22"/>
      <c r="H56" s="12"/>
    </row>
    <row r="57" spans="1:17" x14ac:dyDescent="0.3">
      <c r="B57" t="s">
        <v>3</v>
      </c>
      <c r="D57" s="38">
        <f>IF(OR(ISERROR(IF(Unternehmensdaten!B41=Unternehmensdaten!B42,0,IF(Unternehmensdaten!B11&gt;25,Unternehmensdaten!C43,0))),Unternehmensdaten!C43="Lohnsumme fehlt!"),'Statistische Daten'!H60,IF(Unternehmensdaten!B41=Unternehmensdaten!B42,0,IF(Unternehmensdaten!B11&gt;25,Unternehmensdaten!C43,0)))</f>
        <v>1.100000000000001E-2</v>
      </c>
    </row>
    <row r="58" spans="1:17" x14ac:dyDescent="0.3">
      <c r="B58" t="s">
        <v>262</v>
      </c>
      <c r="D58" s="38">
        <f>IF(OR(ISERROR(IF(Unternehmensdaten!B5="Wien",IF(Unternehmensdaten!C40=0,'Statistische Daten'!H61,Unternehmensdaten!C40),0)),Unternehmensdaten!C40="Lohnsumme fehlt!"),'Statistische Daten'!H61,IF(Unternehmensdaten!B5="Wien",IF(Unternehmensdaten!C40=0,'Statistische Daten'!H61,Unternehmensdaten!C40),0))</f>
        <v>7.0000000000000062E-3</v>
      </c>
    </row>
    <row r="59" spans="1:17" x14ac:dyDescent="0.3">
      <c r="B59" t="s">
        <v>126</v>
      </c>
      <c r="D59" s="38">
        <f>IF(OR(ISERROR(IF(Unternehmensdaten!C29=0,IF(Unternehmensdaten!B11&gt;=50,'Österreichische Werte'!H40,'Österreichische Werte'!H40/2),Unternehmensdaten!C29)),Unternehmensdaten!C29="Lohnsumme fehlt!"),IF(Unternehmensdaten!B11&gt;=50,'Statistische Daten'!H63,'Statistische Daten'!H63/2),IF(Unternehmensdaten!C29=0,IF(Unternehmensdaten!B11&gt;=50,'Österreichische Werte'!H40,'Österreichische Werte'!H40/2),Unternehmensdaten!C29))</f>
        <v>4.8701727834836797E-3</v>
      </c>
      <c r="P59" s="5"/>
      <c r="Q59" s="5"/>
    </row>
    <row r="60" spans="1:17" x14ac:dyDescent="0.3">
      <c r="B60" t="s">
        <v>107</v>
      </c>
      <c r="C60" s="1"/>
      <c r="D60" s="17">
        <f>SUM(D56:D59)</f>
        <v>5.0170172783483701E-2</v>
      </c>
      <c r="E60" s="17"/>
      <c r="F60" s="20"/>
    </row>
    <row r="61" spans="1:17" x14ac:dyDescent="0.3">
      <c r="A61" s="19">
        <f>D60</f>
        <v>5.0170172783483701E-2</v>
      </c>
      <c r="B61" t="s">
        <v>133</v>
      </c>
      <c r="C61" s="1"/>
      <c r="E61" s="12">
        <f>F61/$F$3</f>
        <v>6.2558482130870438E-2</v>
      </c>
      <c r="F61" s="167">
        <f t="shared" ref="F61:L61" si="11">$A$61*(F3+F4)</f>
        <v>0.90522123643369523</v>
      </c>
      <c r="G61" s="167">
        <f t="shared" si="11"/>
        <v>0.81576260698655045</v>
      </c>
      <c r="H61" s="167">
        <f t="shared" si="11"/>
        <v>0.79699506234728945</v>
      </c>
      <c r="I61" s="167">
        <f t="shared" si="11"/>
        <v>0.78385778109980664</v>
      </c>
      <c r="J61" s="167">
        <f t="shared" si="11"/>
        <v>0.76571582128185423</v>
      </c>
      <c r="K61" s="167">
        <f t="shared" si="11"/>
        <v>0.75070178557044531</v>
      </c>
      <c r="L61" s="167">
        <f t="shared" si="11"/>
        <v>0</v>
      </c>
      <c r="M61" s="190"/>
    </row>
    <row r="62" spans="1:17" ht="7.2" customHeight="1" x14ac:dyDescent="0.3"/>
    <row r="63" spans="1:17" x14ac:dyDescent="0.3">
      <c r="C63" s="1" t="s">
        <v>120</v>
      </c>
      <c r="E63" s="17">
        <f>SUM(E51:E62)</f>
        <v>0.9493442351886977</v>
      </c>
      <c r="F63" s="165">
        <f t="shared" ref="F63:L63" si="12">F3*$E$63</f>
        <v>13.737011083180457</v>
      </c>
      <c r="G63" s="165">
        <f t="shared" si="12"/>
        <v>12.379448826860617</v>
      </c>
      <c r="H63" s="165">
        <f t="shared" si="12"/>
        <v>12.094645556304009</v>
      </c>
      <c r="I63" s="165">
        <f t="shared" si="12"/>
        <v>11.895283266914381</v>
      </c>
      <c r="J63" s="165">
        <f t="shared" si="12"/>
        <v>11.61997343870966</v>
      </c>
      <c r="K63" s="165">
        <f t="shared" si="12"/>
        <v>11.392130822264372</v>
      </c>
      <c r="L63" s="165">
        <f t="shared" si="12"/>
        <v>0</v>
      </c>
      <c r="N63" s="6"/>
    </row>
    <row r="64" spans="1:17" ht="7.2" customHeight="1" x14ac:dyDescent="0.3"/>
    <row r="65" spans="1:14" x14ac:dyDescent="0.3">
      <c r="B65" s="32" t="s">
        <v>95</v>
      </c>
      <c r="C65" s="35" t="s">
        <v>139</v>
      </c>
      <c r="D65" s="36">
        <f>E63</f>
        <v>0.9493442351886977</v>
      </c>
      <c r="E65" s="34"/>
      <c r="F65" s="166">
        <f t="shared" ref="F65:L65" si="13">F63+F3</f>
        <v>28.207011083180458</v>
      </c>
      <c r="G65" s="166">
        <f t="shared" si="13"/>
        <v>25.419448826860616</v>
      </c>
      <c r="H65" s="166">
        <f t="shared" si="13"/>
        <v>24.834645556304011</v>
      </c>
      <c r="I65" s="166">
        <f t="shared" si="13"/>
        <v>24.425283266914381</v>
      </c>
      <c r="J65" s="166">
        <f t="shared" si="13"/>
        <v>23.859973438709659</v>
      </c>
      <c r="K65" s="166">
        <f t="shared" si="13"/>
        <v>23.39213082226437</v>
      </c>
      <c r="L65" s="166">
        <f t="shared" si="13"/>
        <v>0</v>
      </c>
      <c r="N65" s="6"/>
    </row>
    <row r="66" spans="1:14" ht="7.2" customHeight="1" x14ac:dyDescent="0.3"/>
    <row r="67" spans="1:14" x14ac:dyDescent="0.3">
      <c r="A67" s="13" t="s">
        <v>119</v>
      </c>
      <c r="B67" s="8" t="s">
        <v>134</v>
      </c>
    </row>
    <row r="68" spans="1:14" x14ac:dyDescent="0.3">
      <c r="B68" t="s">
        <v>98</v>
      </c>
      <c r="D68" s="38">
        <f>IF(OR(ISERROR(IF(Unternehmensdaten!C23=0,'Statistische Daten'!H64,Unternehmensdaten!C23)),Unternehmensdaten!C23="Lohnsumme fehlt!"),'Statistische Daten'!H64,IF(Unternehmensdaten!C23=0,'Statistische Daten'!H64,Unternehmensdaten!C23))</f>
        <v>8.106145130222632E-2</v>
      </c>
      <c r="F68" s="21"/>
      <c r="G68" s="22"/>
      <c r="H68" s="12"/>
    </row>
    <row r="69" spans="1:14" x14ac:dyDescent="0.3">
      <c r="B69" t="s">
        <v>135</v>
      </c>
      <c r="D69" s="38">
        <f>IF(OR(ISERROR(IF(Unternehmensdaten!C24=0,0,Unternehmensdaten!C24)),Unternehmensdaten!C24="Lohnsumme fehlt!"),0,IF(Unternehmensdaten!C24=0,0,Unternehmensdaten!C24))</f>
        <v>0</v>
      </c>
      <c r="F69" s="21"/>
      <c r="G69" s="22"/>
      <c r="H69" s="12"/>
    </row>
    <row r="70" spans="1:14" x14ac:dyDescent="0.3">
      <c r="B70" t="s">
        <v>99</v>
      </c>
      <c r="D70" s="38">
        <f>IF(OR(ISERROR(IF(Unternehmensdaten!C47=0,'Statistische Daten'!H66,Unternehmensdaten!C47)),Unternehmensdaten!C47="Lohnsumme fehlt!"),'Statistische Daten'!H66,IF(Unternehmensdaten!C47=0,'Statistische Daten'!H66,Unternehmensdaten!C47))</f>
        <v>0.09</v>
      </c>
      <c r="F70" s="21"/>
      <c r="G70" s="22"/>
      <c r="H70" s="12"/>
    </row>
    <row r="71" spans="1:14" x14ac:dyDescent="0.3">
      <c r="B71" t="s">
        <v>100</v>
      </c>
      <c r="D71" s="38">
        <f>IF(OR(ISERROR(IF(Unternehmensdaten!C50=0,0,Unternehmensdaten!C50)),Unternehmensdaten!C50="Lohnsumme fehlt!"),0,IF(Unternehmensdaten!C50=0,0,Unternehmensdaten!C50))</f>
        <v>0</v>
      </c>
      <c r="F71" s="21"/>
      <c r="G71" s="22"/>
      <c r="H71" s="12"/>
    </row>
    <row r="72" spans="1:14" x14ac:dyDescent="0.3">
      <c r="B72" t="s">
        <v>101</v>
      </c>
      <c r="D72" s="38">
        <f>IF(OR(ISERROR(IF(Unternehmensdaten!C53=0,'Statistische Daten'!H65,Unternehmensdaten!C53)),Unternehmensdaten!C53="Lohnsumme fehlt!"),'Statistische Daten'!H65,IF(Unternehmensdaten!C53=0,'Statistische Daten'!H65,Unternehmensdaten!C53))</f>
        <v>0.36837302027529301</v>
      </c>
      <c r="F72" s="21"/>
      <c r="G72" s="22"/>
    </row>
    <row r="73" spans="1:14" x14ac:dyDescent="0.3">
      <c r="A73" s="19">
        <f>D73</f>
        <v>0.53943447157751934</v>
      </c>
      <c r="B73" t="s">
        <v>136</v>
      </c>
      <c r="D73" s="17">
        <f>SUM(D68:D72)</f>
        <v>0.53943447157751934</v>
      </c>
      <c r="E73" s="12">
        <f>F73/F3</f>
        <v>0.6726347524572851</v>
      </c>
      <c r="F73" s="163">
        <f t="shared" ref="F73:L73" si="14">(F3+F4)*$A$73</f>
        <v>9.7330248680569156</v>
      </c>
      <c r="G73" s="163">
        <f t="shared" si="14"/>
        <v>8.7711571720429973</v>
      </c>
      <c r="H73" s="163">
        <f t="shared" si="14"/>
        <v>8.5693667463058123</v>
      </c>
      <c r="I73" s="163">
        <f t="shared" si="14"/>
        <v>8.4281134482897819</v>
      </c>
      <c r="J73" s="163">
        <f t="shared" si="14"/>
        <v>8.2330493700771701</v>
      </c>
      <c r="K73" s="163">
        <f t="shared" si="14"/>
        <v>8.0716170294874221</v>
      </c>
      <c r="L73" s="163">
        <f t="shared" si="14"/>
        <v>0</v>
      </c>
      <c r="M73" s="12"/>
    </row>
    <row r="74" spans="1:14" ht="7.2" customHeight="1" x14ac:dyDescent="0.3"/>
    <row r="75" spans="1:14" x14ac:dyDescent="0.3">
      <c r="C75" s="1" t="s">
        <v>137</v>
      </c>
      <c r="E75" s="17">
        <f>SUM(E63:E74)</f>
        <v>1.6219789876459827</v>
      </c>
      <c r="F75" s="165">
        <f t="shared" ref="F75:L75" si="15">F3*$E$75</f>
        <v>23.470035951237371</v>
      </c>
      <c r="G75" s="165">
        <f t="shared" si="15"/>
        <v>21.150605998903615</v>
      </c>
      <c r="H75" s="165">
        <f t="shared" si="15"/>
        <v>20.664012302609819</v>
      </c>
      <c r="I75" s="165">
        <f t="shared" si="15"/>
        <v>20.323396715204161</v>
      </c>
      <c r="J75" s="165">
        <f t="shared" si="15"/>
        <v>19.853022808786829</v>
      </c>
      <c r="K75" s="165">
        <f t="shared" si="15"/>
        <v>19.463747851751791</v>
      </c>
      <c r="L75" s="165">
        <f t="shared" si="15"/>
        <v>0</v>
      </c>
    </row>
    <row r="76" spans="1:14" ht="7.2" customHeight="1" x14ac:dyDescent="0.3"/>
    <row r="77" spans="1:14" x14ac:dyDescent="0.3">
      <c r="B77" s="32" t="s">
        <v>140</v>
      </c>
      <c r="C77" s="35"/>
      <c r="D77" s="36"/>
      <c r="E77" s="34"/>
      <c r="F77" s="166">
        <f t="shared" ref="F77:L77" si="16">F3+F75</f>
        <v>37.94003595123737</v>
      </c>
      <c r="G77" s="166">
        <f t="shared" si="16"/>
        <v>34.190605998903614</v>
      </c>
      <c r="H77" s="166">
        <f t="shared" si="16"/>
        <v>33.404012302609821</v>
      </c>
      <c r="I77" s="166">
        <f t="shared" si="16"/>
        <v>32.853396715204163</v>
      </c>
      <c r="J77" s="166">
        <f t="shared" si="16"/>
        <v>32.093022808786827</v>
      </c>
      <c r="K77" s="166">
        <f t="shared" si="16"/>
        <v>31.463747851751791</v>
      </c>
      <c r="L77" s="166">
        <f t="shared" si="16"/>
        <v>0</v>
      </c>
    </row>
    <row r="78" spans="1:14" ht="7.2" customHeight="1" x14ac:dyDescent="0.3"/>
    <row r="79" spans="1:14" x14ac:dyDescent="0.3">
      <c r="A79" s="13" t="s">
        <v>138</v>
      </c>
      <c r="B79" s="8" t="s">
        <v>104</v>
      </c>
    </row>
    <row r="80" spans="1:14" x14ac:dyDescent="0.3">
      <c r="B80" t="s">
        <v>105</v>
      </c>
      <c r="D80" s="38">
        <f>IF(ISBLANK(Unternehmensdaten!B76),'Statistische Daten'!E8,Unternehmensdaten!B76)</f>
        <v>5.0000000000000001E-3</v>
      </c>
    </row>
    <row r="81" spans="1:14" x14ac:dyDescent="0.3">
      <c r="A81"/>
      <c r="B81" t="s">
        <v>106</v>
      </c>
      <c r="D81" s="38">
        <f>IF(ISBLANK(Unternehmensdaten!B77),'Statistische Daten'!E9,Unternehmensdaten!B77)</f>
        <v>0.05</v>
      </c>
      <c r="G81"/>
    </row>
    <row r="82" spans="1:14" x14ac:dyDescent="0.3">
      <c r="A82" s="31">
        <f>D82</f>
        <v>5.5E-2</v>
      </c>
      <c r="B82" t="s">
        <v>143</v>
      </c>
      <c r="D82" s="17">
        <f>SUM(D80:D81)</f>
        <v>5.5E-2</v>
      </c>
      <c r="E82" s="12">
        <f>F82/F3</f>
        <v>0.14420884432052905</v>
      </c>
      <c r="F82" s="163">
        <f>F77*$A$82</f>
        <v>2.0867019773180555</v>
      </c>
      <c r="G82" s="163">
        <f t="shared" ref="G82:L82" si="17">G77*$A$82</f>
        <v>1.8804833299396988</v>
      </c>
      <c r="H82" s="163">
        <f t="shared" si="17"/>
        <v>1.8372206766435402</v>
      </c>
      <c r="I82" s="163">
        <f t="shared" si="17"/>
        <v>1.806936819336229</v>
      </c>
      <c r="J82" s="163">
        <f t="shared" si="17"/>
        <v>1.7651162544832755</v>
      </c>
      <c r="K82" s="163">
        <f t="shared" si="17"/>
        <v>1.7305061318463484</v>
      </c>
      <c r="L82" s="163">
        <f t="shared" si="17"/>
        <v>0</v>
      </c>
      <c r="M82" s="12"/>
    </row>
    <row r="83" spans="1:14" ht="7.2" customHeight="1" x14ac:dyDescent="0.3"/>
    <row r="84" spans="1:14" x14ac:dyDescent="0.3">
      <c r="C84" s="1" t="s">
        <v>142</v>
      </c>
      <c r="E84" s="17">
        <f>SUM(E75:E83)</f>
        <v>1.7661878319665116</v>
      </c>
      <c r="F84" s="165">
        <f t="shared" ref="F84:L84" si="18">F3*$E$84</f>
        <v>25.556737928555425</v>
      </c>
      <c r="G84" s="165">
        <f t="shared" si="18"/>
        <v>23.031089328843311</v>
      </c>
      <c r="H84" s="165">
        <f t="shared" si="18"/>
        <v>22.501232979253359</v>
      </c>
      <c r="I84" s="165">
        <f t="shared" si="18"/>
        <v>22.130333534540391</v>
      </c>
      <c r="J84" s="165">
        <f t="shared" si="18"/>
        <v>21.618139063270103</v>
      </c>
      <c r="K84" s="165">
        <f t="shared" si="18"/>
        <v>21.194253983598138</v>
      </c>
      <c r="L84" s="165">
        <f t="shared" si="18"/>
        <v>0</v>
      </c>
    </row>
    <row r="85" spans="1:14" ht="7.2" customHeight="1" x14ac:dyDescent="0.3"/>
    <row r="86" spans="1:14" x14ac:dyDescent="0.3">
      <c r="A86"/>
      <c r="G86"/>
    </row>
    <row r="87" spans="1:14" x14ac:dyDescent="0.3">
      <c r="A87"/>
      <c r="B87" s="32" t="s">
        <v>141</v>
      </c>
      <c r="C87" s="32"/>
      <c r="D87" s="34"/>
      <c r="E87" s="34"/>
      <c r="F87" s="166">
        <f t="shared" ref="F87:L87" si="19">F3+F84</f>
        <v>40.026737928555427</v>
      </c>
      <c r="G87" s="166">
        <f t="shared" si="19"/>
        <v>36.071089328843314</v>
      </c>
      <c r="H87" s="166">
        <f t="shared" si="19"/>
        <v>35.241232979253361</v>
      </c>
      <c r="I87" s="166">
        <f t="shared" si="19"/>
        <v>34.660333534540392</v>
      </c>
      <c r="J87" s="166">
        <f t="shared" si="19"/>
        <v>33.858139063270102</v>
      </c>
      <c r="K87" s="166">
        <f t="shared" si="19"/>
        <v>33.194253983598138</v>
      </c>
      <c r="L87" s="166">
        <f t="shared" si="19"/>
        <v>0</v>
      </c>
    </row>
    <row r="88" spans="1:14" x14ac:dyDescent="0.3">
      <c r="A88"/>
      <c r="G88"/>
    </row>
    <row r="89" spans="1:14" x14ac:dyDescent="0.3">
      <c r="A89"/>
      <c r="B89" s="1" t="s">
        <v>394</v>
      </c>
      <c r="G89"/>
    </row>
    <row r="90" spans="1:14" x14ac:dyDescent="0.3">
      <c r="A90"/>
      <c r="B90" t="s">
        <v>417</v>
      </c>
      <c r="C90" s="211">
        <v>0.25</v>
      </c>
      <c r="D90" s="6"/>
      <c r="E90" s="24"/>
      <c r="F90" s="210">
        <f t="shared" ref="F90:L93" si="20">(1+$C90)*F$53+F$61+F$73+F$82</f>
        <v>46.85218539024212</v>
      </c>
      <c r="G90" s="210">
        <f t="shared" si="20"/>
        <v>42.222010883811826</v>
      </c>
      <c r="H90" s="210">
        <f t="shared" si="20"/>
        <v>41.250645602742537</v>
      </c>
      <c r="I90" s="210">
        <f t="shared" si="20"/>
        <v>40.570689905994037</v>
      </c>
      <c r="J90" s="210">
        <f t="shared" si="20"/>
        <v>39.631703467627062</v>
      </c>
      <c r="K90" s="210">
        <f t="shared" si="20"/>
        <v>38.854611242771625</v>
      </c>
      <c r="L90" s="210">
        <f t="shared" si="20"/>
        <v>0</v>
      </c>
      <c r="N90" s="21"/>
    </row>
    <row r="91" spans="1:14" ht="28.8" x14ac:dyDescent="0.3">
      <c r="A91"/>
      <c r="B91" s="9" t="s">
        <v>418</v>
      </c>
      <c r="C91" s="211">
        <v>0.5</v>
      </c>
      <c r="D91" s="6"/>
      <c r="E91" s="24"/>
      <c r="F91" s="210">
        <f t="shared" si="20"/>
        <v>53.677632851928813</v>
      </c>
      <c r="G91" s="210">
        <f t="shared" si="20"/>
        <v>48.372932438780346</v>
      </c>
      <c r="H91" s="210">
        <f t="shared" si="20"/>
        <v>47.26005822623172</v>
      </c>
      <c r="I91" s="210">
        <f t="shared" si="20"/>
        <v>46.481046277447675</v>
      </c>
      <c r="J91" s="210">
        <f t="shared" si="20"/>
        <v>45.405267871984002</v>
      </c>
      <c r="K91" s="210">
        <f t="shared" si="20"/>
        <v>44.514968501945106</v>
      </c>
      <c r="L91" s="210">
        <f t="shared" si="20"/>
        <v>0</v>
      </c>
      <c r="N91" s="18"/>
    </row>
    <row r="92" spans="1:14" ht="28.8" x14ac:dyDescent="0.3">
      <c r="A92"/>
      <c r="B92" s="9" t="s">
        <v>397</v>
      </c>
      <c r="C92" s="211">
        <v>0.75</v>
      </c>
      <c r="D92" s="6"/>
      <c r="E92" s="24"/>
      <c r="F92" s="210">
        <f t="shared" si="20"/>
        <v>60.503080313615499</v>
      </c>
      <c r="G92" s="210">
        <f t="shared" si="20"/>
        <v>54.523853993748858</v>
      </c>
      <c r="H92" s="210">
        <f t="shared" si="20"/>
        <v>53.269470849720896</v>
      </c>
      <c r="I92" s="210">
        <f t="shared" si="20"/>
        <v>52.39140264890132</v>
      </c>
      <c r="J92" s="210">
        <f t="shared" si="20"/>
        <v>51.178832276340955</v>
      </c>
      <c r="K92" s="210">
        <f t="shared" si="20"/>
        <v>50.175325761118586</v>
      </c>
      <c r="L92" s="210">
        <f t="shared" si="20"/>
        <v>0</v>
      </c>
      <c r="N92" s="18"/>
    </row>
    <row r="93" spans="1:14" ht="28.8" x14ac:dyDescent="0.3">
      <c r="A93"/>
      <c r="B93" s="9" t="s">
        <v>419</v>
      </c>
      <c r="C93" s="211">
        <v>1</v>
      </c>
      <c r="D93" s="6"/>
      <c r="E93" s="24"/>
      <c r="F93" s="210">
        <f t="shared" si="20"/>
        <v>67.328527775302192</v>
      </c>
      <c r="G93" s="210">
        <f t="shared" si="20"/>
        <v>60.674775548717378</v>
      </c>
      <c r="H93" s="210">
        <f t="shared" si="20"/>
        <v>59.27888347321008</v>
      </c>
      <c r="I93" s="210">
        <f t="shared" si="20"/>
        <v>58.301759020354964</v>
      </c>
      <c r="J93" s="210">
        <f t="shared" si="20"/>
        <v>56.952396680697909</v>
      </c>
      <c r="K93" s="210">
        <f t="shared" si="20"/>
        <v>55.835683020292066</v>
      </c>
      <c r="L93" s="210">
        <f t="shared" si="20"/>
        <v>0</v>
      </c>
    </row>
    <row r="94" spans="1:14" x14ac:dyDescent="0.3">
      <c r="A94"/>
      <c r="C94" s="211"/>
      <c r="D94" s="6"/>
      <c r="E94" s="24"/>
      <c r="F94" s="213"/>
      <c r="G94" s="213"/>
      <c r="H94" s="213"/>
      <c r="I94" s="213"/>
      <c r="J94" s="213"/>
      <c r="K94" s="213"/>
      <c r="L94" s="213"/>
    </row>
    <row r="95" spans="1:14" x14ac:dyDescent="0.3">
      <c r="A95"/>
      <c r="B95" s="214" t="s">
        <v>396</v>
      </c>
      <c r="C95" s="211"/>
      <c r="D95" s="6"/>
      <c r="E95" s="24"/>
      <c r="F95" s="213"/>
      <c r="G95" s="213"/>
      <c r="H95" s="213"/>
      <c r="I95" s="213"/>
      <c r="J95" s="213"/>
      <c r="K95" s="213"/>
      <c r="L95" s="213"/>
    </row>
    <row r="96" spans="1:14" x14ac:dyDescent="0.3">
      <c r="A96"/>
      <c r="B96" t="s">
        <v>395</v>
      </c>
      <c r="C96" s="212">
        <v>1</v>
      </c>
      <c r="F96" s="210">
        <f t="shared" ref="F96:L103" si="21">(1+$C96)*F$53+F$61+F$73+F$82</f>
        <v>67.328527775302192</v>
      </c>
      <c r="G96" s="210">
        <f t="shared" si="21"/>
        <v>60.674775548717378</v>
      </c>
      <c r="H96" s="210">
        <f t="shared" si="21"/>
        <v>59.27888347321008</v>
      </c>
      <c r="I96" s="210">
        <f t="shared" si="21"/>
        <v>58.301759020354964</v>
      </c>
      <c r="J96" s="210">
        <f t="shared" si="21"/>
        <v>56.952396680697909</v>
      </c>
      <c r="K96" s="210">
        <f t="shared" si="21"/>
        <v>55.835683020292066</v>
      </c>
      <c r="L96" s="210">
        <f t="shared" si="21"/>
        <v>0</v>
      </c>
    </row>
    <row r="97" spans="2:19" ht="43.2" x14ac:dyDescent="0.3">
      <c r="B97" s="9" t="s">
        <v>398</v>
      </c>
      <c r="C97" s="209">
        <v>1.25</v>
      </c>
      <c r="F97" s="210">
        <f t="shared" si="21"/>
        <v>74.153975236988884</v>
      </c>
      <c r="G97" s="210">
        <f t="shared" si="21"/>
        <v>66.825697103685883</v>
      </c>
      <c r="H97" s="210">
        <f t="shared" si="21"/>
        <v>65.28829609669927</v>
      </c>
      <c r="I97" s="210">
        <f t="shared" si="21"/>
        <v>64.212115391808609</v>
      </c>
      <c r="J97" s="210">
        <f t="shared" si="21"/>
        <v>62.725961085054863</v>
      </c>
      <c r="K97" s="210">
        <f t="shared" si="21"/>
        <v>61.496040279465547</v>
      </c>
      <c r="L97" s="210">
        <f t="shared" si="21"/>
        <v>0</v>
      </c>
    </row>
    <row r="98" spans="2:19" ht="72" x14ac:dyDescent="0.3">
      <c r="B98" s="9" t="s">
        <v>400</v>
      </c>
      <c r="C98" s="212">
        <v>1.5</v>
      </c>
      <c r="F98" s="210">
        <f t="shared" si="21"/>
        <v>80.979422698675563</v>
      </c>
      <c r="G98" s="210">
        <f t="shared" si="21"/>
        <v>72.976618658654402</v>
      </c>
      <c r="H98" s="210">
        <f t="shared" si="21"/>
        <v>71.297708720188439</v>
      </c>
      <c r="I98" s="210">
        <f t="shared" si="21"/>
        <v>70.122471763262254</v>
      </c>
      <c r="J98" s="210">
        <f t="shared" si="21"/>
        <v>68.499525489411823</v>
      </c>
      <c r="K98" s="210">
        <f t="shared" si="21"/>
        <v>67.156397538639041</v>
      </c>
      <c r="L98" s="210">
        <f t="shared" si="21"/>
        <v>0</v>
      </c>
    </row>
    <row r="99" spans="2:19" ht="43.2" x14ac:dyDescent="0.3">
      <c r="B99" s="9" t="s">
        <v>402</v>
      </c>
      <c r="C99" s="212">
        <v>1.75</v>
      </c>
      <c r="F99" s="210">
        <f t="shared" si="21"/>
        <v>87.804870160362256</v>
      </c>
      <c r="G99" s="210">
        <f t="shared" si="21"/>
        <v>79.127540213622922</v>
      </c>
      <c r="H99" s="210">
        <f t="shared" si="21"/>
        <v>77.307121343677622</v>
      </c>
      <c r="I99" s="210">
        <f t="shared" si="21"/>
        <v>76.032828134715899</v>
      </c>
      <c r="J99" s="210">
        <f t="shared" si="21"/>
        <v>74.27308989376877</v>
      </c>
      <c r="K99" s="210">
        <f t="shared" si="21"/>
        <v>72.816754797812521</v>
      </c>
      <c r="L99" s="210">
        <f t="shared" si="21"/>
        <v>0</v>
      </c>
    </row>
    <row r="100" spans="2:19" ht="100.8" x14ac:dyDescent="0.3">
      <c r="B100" s="9" t="s">
        <v>401</v>
      </c>
      <c r="C100" s="212">
        <v>2</v>
      </c>
      <c r="F100" s="210">
        <f t="shared" si="21"/>
        <v>94.630317622048949</v>
      </c>
      <c r="G100" s="210">
        <f t="shared" si="21"/>
        <v>85.278461768591427</v>
      </c>
      <c r="H100" s="210">
        <f t="shared" si="21"/>
        <v>83.316533967166805</v>
      </c>
      <c r="I100" s="210">
        <f t="shared" si="21"/>
        <v>81.94318450616953</v>
      </c>
      <c r="J100" s="210">
        <f t="shared" si="21"/>
        <v>80.046654298125716</v>
      </c>
      <c r="K100" s="210">
        <f t="shared" si="21"/>
        <v>78.477112056986016</v>
      </c>
      <c r="L100" s="210">
        <f t="shared" si="21"/>
        <v>0</v>
      </c>
    </row>
    <row r="101" spans="2:19" x14ac:dyDescent="0.3">
      <c r="B101" s="9" t="s">
        <v>399</v>
      </c>
      <c r="C101" s="28">
        <v>2.25</v>
      </c>
      <c r="F101" s="210">
        <f t="shared" si="21"/>
        <v>101.45576508373564</v>
      </c>
      <c r="G101" s="210">
        <f t="shared" si="21"/>
        <v>91.429383323559961</v>
      </c>
      <c r="H101" s="210">
        <f t="shared" si="21"/>
        <v>89.325946590655988</v>
      </c>
      <c r="I101" s="210">
        <f t="shared" si="21"/>
        <v>87.853540877623175</v>
      </c>
      <c r="J101" s="210">
        <f t="shared" si="21"/>
        <v>85.820218702482677</v>
      </c>
      <c r="K101" s="210">
        <f t="shared" si="21"/>
        <v>84.137469316159496</v>
      </c>
      <c r="L101" s="210">
        <f t="shared" si="21"/>
        <v>0</v>
      </c>
    </row>
    <row r="102" spans="2:19" ht="43.2" x14ac:dyDescent="0.3">
      <c r="B102" s="9" t="s">
        <v>420</v>
      </c>
      <c r="C102" s="212">
        <v>2.5</v>
      </c>
      <c r="F102" s="210">
        <f t="shared" si="21"/>
        <v>108.28121254542232</v>
      </c>
      <c r="G102" s="210">
        <f t="shared" si="21"/>
        <v>97.580304878528466</v>
      </c>
      <c r="H102" s="210">
        <f t="shared" si="21"/>
        <v>95.335359214145157</v>
      </c>
      <c r="I102" s="210">
        <f t="shared" si="21"/>
        <v>93.76389724907682</v>
      </c>
      <c r="J102" s="210">
        <f t="shared" si="21"/>
        <v>91.593783106839624</v>
      </c>
      <c r="K102" s="210">
        <f t="shared" si="21"/>
        <v>89.797826575332977</v>
      </c>
      <c r="L102" s="210">
        <f t="shared" si="21"/>
        <v>0</v>
      </c>
    </row>
    <row r="103" spans="2:19" ht="57.6" x14ac:dyDescent="0.3">
      <c r="B103" s="9" t="s">
        <v>421</v>
      </c>
      <c r="C103" s="212">
        <v>2.75</v>
      </c>
      <c r="F103" s="210">
        <f t="shared" si="21"/>
        <v>115.10666000710901</v>
      </c>
      <c r="G103" s="210">
        <f t="shared" si="21"/>
        <v>103.73122643349697</v>
      </c>
      <c r="H103" s="210">
        <f t="shared" si="21"/>
        <v>101.34477183763434</v>
      </c>
      <c r="I103" s="210">
        <f t="shared" si="21"/>
        <v>99.674253620530465</v>
      </c>
      <c r="J103" s="210">
        <f t="shared" si="21"/>
        <v>97.367347511196584</v>
      </c>
      <c r="K103" s="210">
        <f t="shared" si="21"/>
        <v>95.458183834506457</v>
      </c>
      <c r="L103" s="210">
        <f t="shared" si="21"/>
        <v>0</v>
      </c>
    </row>
    <row r="105" spans="2:19" x14ac:dyDescent="0.3">
      <c r="B105" s="214" t="s">
        <v>403</v>
      </c>
    </row>
    <row r="106" spans="2:19" x14ac:dyDescent="0.3">
      <c r="B106" s="9" t="s">
        <v>404</v>
      </c>
      <c r="C106" s="212">
        <v>0.25</v>
      </c>
      <c r="F106" s="210">
        <f t="shared" ref="F106:L112" si="22">(1+$C106)*F$53+F$61+F$73+F$82</f>
        <v>46.85218539024212</v>
      </c>
      <c r="G106" s="210">
        <f t="shared" si="22"/>
        <v>42.222010883811826</v>
      </c>
      <c r="H106" s="210">
        <f t="shared" si="22"/>
        <v>41.250645602742537</v>
      </c>
      <c r="I106" s="210">
        <f t="shared" si="22"/>
        <v>40.570689905994037</v>
      </c>
      <c r="J106" s="210">
        <f t="shared" si="22"/>
        <v>39.631703467627062</v>
      </c>
      <c r="K106" s="210">
        <f t="shared" si="22"/>
        <v>38.854611242771625</v>
      </c>
      <c r="L106" s="210">
        <f t="shared" si="22"/>
        <v>0</v>
      </c>
    </row>
    <row r="107" spans="2:19" ht="28.8" x14ac:dyDescent="0.3">
      <c r="B107" s="9" t="s">
        <v>405</v>
      </c>
      <c r="C107" s="212">
        <v>0.5</v>
      </c>
      <c r="F107" s="210">
        <f t="shared" si="22"/>
        <v>53.677632851928813</v>
      </c>
      <c r="G107" s="210">
        <f t="shared" si="22"/>
        <v>48.372932438780346</v>
      </c>
      <c r="H107" s="210">
        <f t="shared" si="22"/>
        <v>47.26005822623172</v>
      </c>
      <c r="I107" s="210">
        <f t="shared" si="22"/>
        <v>46.481046277447675</v>
      </c>
      <c r="J107" s="210">
        <f t="shared" si="22"/>
        <v>45.405267871984002</v>
      </c>
      <c r="K107" s="210">
        <f t="shared" si="22"/>
        <v>44.514968501945106</v>
      </c>
      <c r="L107" s="210">
        <f t="shared" si="22"/>
        <v>0</v>
      </c>
      <c r="S107" s="13"/>
    </row>
    <row r="108" spans="2:19" ht="28.8" x14ac:dyDescent="0.3">
      <c r="B108" s="9" t="s">
        <v>406</v>
      </c>
      <c r="C108" s="212">
        <v>0.75</v>
      </c>
      <c r="F108" s="210">
        <f t="shared" si="22"/>
        <v>60.503080313615499</v>
      </c>
      <c r="G108" s="210">
        <f t="shared" si="22"/>
        <v>54.523853993748858</v>
      </c>
      <c r="H108" s="210">
        <f t="shared" si="22"/>
        <v>53.269470849720896</v>
      </c>
      <c r="I108" s="210">
        <f t="shared" si="22"/>
        <v>52.39140264890132</v>
      </c>
      <c r="J108" s="210">
        <f t="shared" si="22"/>
        <v>51.178832276340955</v>
      </c>
      <c r="K108" s="210">
        <f t="shared" si="22"/>
        <v>50.175325761118586</v>
      </c>
      <c r="L108" s="210">
        <f t="shared" si="22"/>
        <v>0</v>
      </c>
      <c r="S108" s="13"/>
    </row>
    <row r="109" spans="2:19" x14ac:dyDescent="0.3">
      <c r="B109" s="9" t="s">
        <v>422</v>
      </c>
      <c r="C109" s="212">
        <v>1</v>
      </c>
      <c r="F109" s="210">
        <f t="shared" si="22"/>
        <v>67.328527775302192</v>
      </c>
      <c r="G109" s="210">
        <f t="shared" si="22"/>
        <v>60.674775548717378</v>
      </c>
      <c r="H109" s="210">
        <f t="shared" si="22"/>
        <v>59.27888347321008</v>
      </c>
      <c r="I109" s="210">
        <f t="shared" si="22"/>
        <v>58.301759020354964</v>
      </c>
      <c r="J109" s="210">
        <f t="shared" si="22"/>
        <v>56.952396680697909</v>
      </c>
      <c r="K109" s="210">
        <f t="shared" si="22"/>
        <v>55.835683020292066</v>
      </c>
      <c r="L109" s="210">
        <f t="shared" si="22"/>
        <v>0</v>
      </c>
      <c r="S109" s="13"/>
    </row>
    <row r="110" spans="2:19" ht="28.8" x14ac:dyDescent="0.3">
      <c r="B110" s="9" t="s">
        <v>423</v>
      </c>
      <c r="C110" s="212">
        <v>1.25</v>
      </c>
      <c r="F110" s="210">
        <f t="shared" si="22"/>
        <v>74.153975236988884</v>
      </c>
      <c r="G110" s="210">
        <f t="shared" si="22"/>
        <v>66.825697103685883</v>
      </c>
      <c r="H110" s="210">
        <f t="shared" si="22"/>
        <v>65.28829609669927</v>
      </c>
      <c r="I110" s="210">
        <f t="shared" si="22"/>
        <v>64.212115391808609</v>
      </c>
      <c r="J110" s="210">
        <f t="shared" si="22"/>
        <v>62.725961085054863</v>
      </c>
      <c r="K110" s="210">
        <f t="shared" si="22"/>
        <v>61.496040279465547</v>
      </c>
      <c r="L110" s="210">
        <f t="shared" si="22"/>
        <v>0</v>
      </c>
      <c r="S110" s="13"/>
    </row>
    <row r="111" spans="2:19" x14ac:dyDescent="0.3">
      <c r="B111" s="9" t="s">
        <v>424</v>
      </c>
      <c r="C111" s="212">
        <v>1.5</v>
      </c>
      <c r="F111" s="210">
        <f t="shared" si="22"/>
        <v>80.979422698675563</v>
      </c>
      <c r="G111" s="210">
        <f t="shared" si="22"/>
        <v>72.976618658654402</v>
      </c>
      <c r="H111" s="210">
        <f t="shared" si="22"/>
        <v>71.297708720188439</v>
      </c>
      <c r="I111" s="210">
        <f t="shared" si="22"/>
        <v>70.122471763262254</v>
      </c>
      <c r="J111" s="210">
        <f t="shared" si="22"/>
        <v>68.499525489411823</v>
      </c>
      <c r="K111" s="210">
        <f t="shared" si="22"/>
        <v>67.156397538639041</v>
      </c>
      <c r="L111" s="210">
        <f t="shared" si="22"/>
        <v>0</v>
      </c>
      <c r="S111" s="13"/>
    </row>
    <row r="112" spans="2:19" x14ac:dyDescent="0.3">
      <c r="B112" s="9" t="s">
        <v>407</v>
      </c>
      <c r="C112" s="212">
        <v>1.75</v>
      </c>
      <c r="F112" s="210">
        <f t="shared" si="22"/>
        <v>87.804870160362256</v>
      </c>
      <c r="G112" s="210">
        <f t="shared" si="22"/>
        <v>79.127540213622922</v>
      </c>
      <c r="H112" s="210">
        <f t="shared" si="22"/>
        <v>77.307121343677622</v>
      </c>
      <c r="I112" s="210">
        <f t="shared" si="22"/>
        <v>76.032828134715899</v>
      </c>
      <c r="J112" s="210">
        <f t="shared" si="22"/>
        <v>74.27308989376877</v>
      </c>
      <c r="K112" s="210">
        <f t="shared" si="22"/>
        <v>72.816754797812521</v>
      </c>
      <c r="L112" s="210">
        <f t="shared" si="22"/>
        <v>0</v>
      </c>
      <c r="S112" s="13"/>
    </row>
    <row r="113" spans="3:19" x14ac:dyDescent="0.3">
      <c r="C113" s="212"/>
      <c r="S113" s="13"/>
    </row>
    <row r="114" spans="3:19" x14ac:dyDescent="0.3">
      <c r="C114" s="212"/>
      <c r="S114" s="13"/>
    </row>
    <row r="115" spans="3:19" x14ac:dyDescent="0.3">
      <c r="C115" s="212"/>
      <c r="S115" s="13"/>
    </row>
    <row r="116" spans="3:19" x14ac:dyDescent="0.3">
      <c r="C116" s="212"/>
      <c r="S116" s="13"/>
    </row>
    <row r="117" spans="3:19" x14ac:dyDescent="0.3">
      <c r="C117" s="212"/>
      <c r="S117" s="13"/>
    </row>
    <row r="118" spans="3:19" x14ac:dyDescent="0.3">
      <c r="S118" s="13"/>
    </row>
    <row r="119" spans="3:19" x14ac:dyDescent="0.3">
      <c r="S119" s="13"/>
    </row>
    <row r="120" spans="3:19" x14ac:dyDescent="0.3">
      <c r="S120" s="13"/>
    </row>
    <row r="121" spans="3:19" x14ac:dyDescent="0.3">
      <c r="S121" s="13"/>
    </row>
    <row r="122" spans="3:19" x14ac:dyDescent="0.3">
      <c r="S122" s="13"/>
    </row>
    <row r="123" spans="3:19" x14ac:dyDescent="0.3">
      <c r="S123" s="13"/>
    </row>
    <row r="124" spans="3:19" x14ac:dyDescent="0.3">
      <c r="S124" s="13"/>
    </row>
    <row r="125" spans="3:19" x14ac:dyDescent="0.3">
      <c r="S125" s="13"/>
    </row>
    <row r="126" spans="3:19" x14ac:dyDescent="0.3">
      <c r="S126" s="13"/>
    </row>
    <row r="127" spans="3:19" x14ac:dyDescent="0.3">
      <c r="S127" s="13"/>
    </row>
    <row r="128" spans="3:19" x14ac:dyDescent="0.3">
      <c r="S128" s="13"/>
    </row>
    <row r="129" spans="19:19" x14ac:dyDescent="0.3">
      <c r="S129" s="13"/>
    </row>
    <row r="130" spans="19:19" x14ac:dyDescent="0.3">
      <c r="S130" s="13"/>
    </row>
    <row r="131" spans="19:19" x14ac:dyDescent="0.3">
      <c r="S131" s="13"/>
    </row>
    <row r="132" spans="19:19" x14ac:dyDescent="0.3">
      <c r="S132" s="13"/>
    </row>
    <row r="133" spans="19:19" x14ac:dyDescent="0.3">
      <c r="S133" s="13"/>
    </row>
    <row r="134" spans="19:19" x14ac:dyDescent="0.3">
      <c r="S134" s="13"/>
    </row>
    <row r="135" spans="19:19" x14ac:dyDescent="0.3">
      <c r="S135" s="13"/>
    </row>
    <row r="136" spans="19:19" x14ac:dyDescent="0.3">
      <c r="S136" s="13"/>
    </row>
    <row r="137" spans="19:19" x14ac:dyDescent="0.3">
      <c r="S137" s="13"/>
    </row>
    <row r="138" spans="19:19" x14ac:dyDescent="0.3">
      <c r="S138" s="13"/>
    </row>
    <row r="139" spans="19:19" x14ac:dyDescent="0.3">
      <c r="S139" s="13"/>
    </row>
    <row r="140" spans="19:19" x14ac:dyDescent="0.3">
      <c r="S140" s="13"/>
    </row>
    <row r="141" spans="19:19" x14ac:dyDescent="0.3">
      <c r="S141" s="13"/>
    </row>
    <row r="142" spans="19:19" x14ac:dyDescent="0.3">
      <c r="S142" s="13"/>
    </row>
    <row r="143" spans="19:19" x14ac:dyDescent="0.3">
      <c r="S143" s="13"/>
    </row>
    <row r="144" spans="19:19" x14ac:dyDescent="0.3">
      <c r="S144" s="13"/>
    </row>
    <row r="145" spans="19:19" x14ac:dyDescent="0.3">
      <c r="S145" s="13"/>
    </row>
    <row r="146" spans="19:19" x14ac:dyDescent="0.3">
      <c r="S146" s="13"/>
    </row>
    <row r="147" spans="19:19" x14ac:dyDescent="0.3">
      <c r="S147" s="13"/>
    </row>
    <row r="148" spans="19:19" x14ac:dyDescent="0.3">
      <c r="S148" s="13"/>
    </row>
    <row r="149" spans="19:19" x14ac:dyDescent="0.3">
      <c r="S149" s="13"/>
    </row>
    <row r="150" spans="19:19" x14ac:dyDescent="0.3">
      <c r="S150" s="13"/>
    </row>
    <row r="151" spans="19:19" x14ac:dyDescent="0.3">
      <c r="S151" s="13"/>
    </row>
    <row r="152" spans="19:19" x14ac:dyDescent="0.3">
      <c r="S152" s="13"/>
    </row>
    <row r="153" spans="19:19" x14ac:dyDescent="0.3">
      <c r="S153" s="13"/>
    </row>
    <row r="154" spans="19:19" x14ac:dyDescent="0.3">
      <c r="S154" s="13"/>
    </row>
    <row r="155" spans="19:19" x14ac:dyDescent="0.3">
      <c r="S155" s="13"/>
    </row>
  </sheetData>
  <sheetProtection algorithmName="SHA-512" hashValue="tTs9M2uQLgvAmG7LgA7R9BtONcLqtqyWWZXjf1ebcqHcF1A4bw9qzIkHz139pRyPbKnIJqjO40V7CWO8GyM/Lw==" saltValue="c6PU4uVef1wDM6Gt73eCfA==" spinCount="100000" sheet="1" objects="1" scenarios="1"/>
  <pageMargins left="0.7" right="0.7" top="0.78740157499999996" bottom="0.78740157499999996"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I71"/>
  <sheetViews>
    <sheetView zoomScaleNormal="100" workbookViewId="0">
      <selection activeCell="D66" sqref="D66"/>
    </sheetView>
  </sheetViews>
  <sheetFormatPr baseColWidth="10" defaultColWidth="50.33203125" defaultRowHeight="14.4" x14ac:dyDescent="0.3"/>
  <cols>
    <col min="1" max="1" width="3.5546875" bestFit="1" customWidth="1"/>
    <col min="2" max="2" width="48.6640625" bestFit="1" customWidth="1"/>
    <col min="3" max="4" width="12.44140625" bestFit="1" customWidth="1"/>
    <col min="5" max="5" width="11.88671875" bestFit="1" customWidth="1"/>
    <col min="6" max="6" width="11.44140625" bestFit="1" customWidth="1"/>
    <col min="7" max="7" width="12.33203125" bestFit="1" customWidth="1"/>
    <col min="8" max="8" width="12.88671875" bestFit="1" customWidth="1"/>
  </cols>
  <sheetData>
    <row r="1" spans="1:8" x14ac:dyDescent="0.3">
      <c r="B1" s="245" t="s">
        <v>21</v>
      </c>
      <c r="C1" s="246"/>
      <c r="D1" s="40" t="s">
        <v>66</v>
      </c>
      <c r="E1" s="40" t="s">
        <v>22</v>
      </c>
      <c r="F1" s="40" t="s">
        <v>23</v>
      </c>
      <c r="G1" s="40" t="s">
        <v>24</v>
      </c>
      <c r="H1" s="41" t="s">
        <v>67</v>
      </c>
    </row>
    <row r="2" spans="1:8" x14ac:dyDescent="0.3">
      <c r="B2" s="247" t="s">
        <v>156</v>
      </c>
      <c r="C2" s="248"/>
      <c r="D2" s="60">
        <v>365</v>
      </c>
      <c r="E2" s="60">
        <v>7</v>
      </c>
      <c r="F2" s="60">
        <v>40</v>
      </c>
      <c r="G2" s="60">
        <v>5</v>
      </c>
      <c r="H2" s="61">
        <v>8</v>
      </c>
    </row>
    <row r="3" spans="1:8" x14ac:dyDescent="0.3">
      <c r="B3" s="247" t="s">
        <v>155</v>
      </c>
      <c r="C3" s="248"/>
      <c r="D3" s="60">
        <v>0.25</v>
      </c>
      <c r="E3" s="60"/>
      <c r="F3" s="60"/>
      <c r="G3" s="60"/>
      <c r="H3" s="61"/>
    </row>
    <row r="4" spans="1:8" x14ac:dyDescent="0.3">
      <c r="B4" s="249"/>
      <c r="C4" s="250"/>
      <c r="D4" s="62"/>
      <c r="E4" s="44" t="s">
        <v>62</v>
      </c>
      <c r="F4" s="44" t="s">
        <v>63</v>
      </c>
      <c r="G4" s="44" t="s">
        <v>25</v>
      </c>
      <c r="H4" s="45" t="s">
        <v>64</v>
      </c>
    </row>
    <row r="5" spans="1:8" ht="15" thickBot="1" x14ac:dyDescent="0.35">
      <c r="B5" s="251" t="s">
        <v>167</v>
      </c>
      <c r="C5" s="252"/>
      <c r="D5" s="42">
        <f>SUM(D2:D4)</f>
        <v>365.25</v>
      </c>
      <c r="E5" s="42">
        <f>D5/E2</f>
        <v>52.178571428571431</v>
      </c>
      <c r="F5" s="42">
        <f>E5*F2</f>
        <v>2087.1428571428573</v>
      </c>
      <c r="G5" s="42">
        <f>H5*H2/12</f>
        <v>173.92857142857144</v>
      </c>
      <c r="H5" s="43">
        <f>E5*G2</f>
        <v>260.89285714285717</v>
      </c>
    </row>
    <row r="6" spans="1:8" ht="7.2" customHeight="1" thickBot="1" x14ac:dyDescent="0.35">
      <c r="B6" s="93"/>
      <c r="C6" s="93"/>
      <c r="D6" s="47"/>
      <c r="E6" s="47"/>
      <c r="F6" s="47"/>
      <c r="G6" s="47"/>
      <c r="H6" s="47"/>
    </row>
    <row r="7" spans="1:8" ht="21.6" customHeight="1" thickBot="1" x14ac:dyDescent="0.35">
      <c r="B7" s="255" t="s">
        <v>26</v>
      </c>
      <c r="C7" s="256"/>
      <c r="D7" s="256"/>
      <c r="E7" s="256"/>
      <c r="F7" s="256"/>
      <c r="G7" s="256"/>
      <c r="H7" s="257"/>
    </row>
    <row r="8" spans="1:8" ht="7.2" customHeight="1" thickBot="1" x14ac:dyDescent="0.35">
      <c r="B8" s="93"/>
      <c r="C8" s="93"/>
      <c r="D8" s="47"/>
      <c r="E8" s="47"/>
      <c r="F8" s="47"/>
      <c r="G8" s="47"/>
      <c r="H8" s="47"/>
    </row>
    <row r="9" spans="1:8" x14ac:dyDescent="0.3">
      <c r="B9" s="245" t="s">
        <v>27</v>
      </c>
      <c r="C9" s="246"/>
      <c r="D9" s="246"/>
      <c r="E9" s="253" t="s">
        <v>157</v>
      </c>
      <c r="F9" s="253"/>
      <c r="G9" s="253"/>
      <c r="H9" s="254"/>
    </row>
    <row r="10" spans="1:8" x14ac:dyDescent="0.3">
      <c r="B10" s="229" t="s">
        <v>28</v>
      </c>
      <c r="C10" s="230"/>
      <c r="D10" s="230"/>
      <c r="E10" s="231" t="s">
        <v>171</v>
      </c>
      <c r="F10" s="231"/>
      <c r="G10" s="231" t="s">
        <v>172</v>
      </c>
      <c r="H10" s="244"/>
    </row>
    <row r="11" spans="1:8" x14ac:dyDescent="0.3">
      <c r="A11" s="94"/>
      <c r="B11" s="232" t="s">
        <v>158</v>
      </c>
      <c r="C11" s="233"/>
      <c r="D11" s="95" t="s">
        <v>29</v>
      </c>
      <c r="E11" s="96">
        <f>H5</f>
        <v>260.89285714285717</v>
      </c>
      <c r="F11" s="97"/>
      <c r="G11" s="98">
        <f>E11</f>
        <v>260.89285714285717</v>
      </c>
      <c r="H11" s="99"/>
    </row>
    <row r="12" spans="1:8" x14ac:dyDescent="0.3">
      <c r="B12" s="227" t="s">
        <v>416</v>
      </c>
      <c r="C12" s="228"/>
      <c r="D12" s="63" t="s">
        <v>29</v>
      </c>
      <c r="E12" s="192">
        <f>VLOOKUP(Unternehmensdaten!$B$19,Feiertage,2,0)</f>
        <v>10.43</v>
      </c>
      <c r="F12" s="52">
        <f>E12/E20</f>
        <v>4.984972026530074E-2</v>
      </c>
      <c r="G12" s="100">
        <f t="shared" ref="G12:G19" si="0">E12</f>
        <v>10.43</v>
      </c>
      <c r="H12" s="64">
        <f>G12/G20</f>
        <v>5.1070157988027436E-2</v>
      </c>
    </row>
    <row r="13" spans="1:8" x14ac:dyDescent="0.3">
      <c r="B13" s="227" t="s">
        <v>196</v>
      </c>
      <c r="C13" s="228"/>
      <c r="D13" s="63" t="s">
        <v>29</v>
      </c>
      <c r="E13" s="192">
        <f>VLOOKUP(Unternehmensdaten!$B$19,Feiertage,3,0)</f>
        <v>0.71399999999999997</v>
      </c>
      <c r="F13" s="52">
        <f>E13/E20</f>
        <v>3.4125311859467622E-3</v>
      </c>
      <c r="G13" s="100">
        <f t="shared" si="0"/>
        <v>0.71399999999999997</v>
      </c>
      <c r="H13" s="64">
        <f>G13/G20</f>
        <v>3.4960779293817437E-3</v>
      </c>
    </row>
    <row r="14" spans="1:8" x14ac:dyDescent="0.3">
      <c r="B14" s="227" t="s">
        <v>159</v>
      </c>
      <c r="C14" s="228"/>
      <c r="D14" s="63" t="s">
        <v>29</v>
      </c>
      <c r="E14" s="65">
        <f>E11-E12-E13</f>
        <v>249.74885714285716</v>
      </c>
      <c r="F14" s="52"/>
      <c r="G14" s="100">
        <f t="shared" si="0"/>
        <v>249.74885714285716</v>
      </c>
      <c r="H14" s="64"/>
    </row>
    <row r="15" spans="1:8" x14ac:dyDescent="0.3">
      <c r="B15" s="227" t="s">
        <v>160</v>
      </c>
      <c r="C15" s="228"/>
      <c r="D15" s="63" t="s">
        <v>29</v>
      </c>
      <c r="E15" s="100">
        <v>25</v>
      </c>
      <c r="F15" s="52">
        <f>E15/E20</f>
        <v>0.11948638606256171</v>
      </c>
      <c r="G15" s="100">
        <v>30</v>
      </c>
      <c r="H15" s="64">
        <f>G15/G20</f>
        <v>0.14689403064629175</v>
      </c>
    </row>
    <row r="16" spans="1:8" x14ac:dyDescent="0.3">
      <c r="A16" s="94"/>
      <c r="B16" s="234" t="s">
        <v>161</v>
      </c>
      <c r="C16" s="235"/>
      <c r="D16" s="101" t="s">
        <v>29</v>
      </c>
      <c r="E16" s="102">
        <f>E14-E15</f>
        <v>224.74885714285716</v>
      </c>
      <c r="F16" s="103"/>
      <c r="G16" s="102">
        <f>G14-G15</f>
        <v>219.74885714285716</v>
      </c>
      <c r="H16" s="104"/>
    </row>
    <row r="17" spans="1:8" x14ac:dyDescent="0.3">
      <c r="B17" s="227" t="s">
        <v>162</v>
      </c>
      <c r="C17" s="228"/>
      <c r="D17" s="63" t="s">
        <v>29</v>
      </c>
      <c r="E17" s="192">
        <f>IF(IF(ISERROR(IF(ISBLANK(Unternehmensdaten!B36),ROUNDUP(Unternehmensdaten!B34,0),Unternehmensdaten!B36)),'Statistische Daten'!B8,IF(ISBLANK(Unternehmensdaten!B36),ROUNDUP(Unternehmensdaten!B34,0),Unternehmensdaten!B36))=0,'Statistische Daten'!B8,IF(ISERROR(IF(ISBLANK(Unternehmensdaten!B36),ROUNDUP(Unternehmensdaten!B34,0),Unternehmensdaten!B36)),'Statistische Daten'!B8,IF(ISBLANK(Unternehmensdaten!B36),ROUNDUP(Unternehmensdaten!B34,0),Unternehmensdaten!B36)))</f>
        <v>14.02</v>
      </c>
      <c r="F17" s="52">
        <f>E17/E20</f>
        <v>6.7007965303884601E-2</v>
      </c>
      <c r="G17" s="100">
        <f t="shared" si="0"/>
        <v>14.02</v>
      </c>
      <c r="H17" s="64">
        <f>G17/G20</f>
        <v>6.8648476988700344E-2</v>
      </c>
    </row>
    <row r="18" spans="1:8" x14ac:dyDescent="0.3">
      <c r="B18" s="227" t="s">
        <v>163</v>
      </c>
      <c r="C18" s="228"/>
      <c r="D18" s="63" t="s">
        <v>29</v>
      </c>
      <c r="E18" s="192">
        <f>IF(ISERROR(Unternehmensdaten!B37),'Statistische Daten'!B9,IF(ISBLANK(Unternehmensdaten!B37),'Statistische Daten'!B9,IF(Unternehmensdaten!B37=0,'Statistische Daten'!B9,Unternehmensdaten!B37)))</f>
        <v>1.5</v>
      </c>
      <c r="F18" s="52">
        <f>E18/E20</f>
        <v>7.1691831637537024E-3</v>
      </c>
      <c r="G18" s="100">
        <f t="shared" si="0"/>
        <v>1.5</v>
      </c>
      <c r="H18" s="64">
        <f>G18/G20</f>
        <v>7.3447015323145877E-3</v>
      </c>
    </row>
    <row r="19" spans="1:8" x14ac:dyDescent="0.3">
      <c r="B19" s="227" t="s">
        <v>345</v>
      </c>
      <c r="C19" s="228"/>
      <c r="D19" s="63" t="s">
        <v>29</v>
      </c>
      <c r="E19" s="192">
        <f>IF(ISERROR(Unternehmensdaten!B38),0,IF(ISBLANK(Unternehmensdaten!B38),0,IF(Unternehmensdaten!B38=0,0,Unternehmensdaten!B38)))</f>
        <v>0</v>
      </c>
      <c r="F19" s="52">
        <f>E19/E20</f>
        <v>0</v>
      </c>
      <c r="G19" s="100">
        <f t="shared" si="0"/>
        <v>0</v>
      </c>
      <c r="H19" s="64">
        <f>G19/G20</f>
        <v>0</v>
      </c>
    </row>
    <row r="20" spans="1:8" x14ac:dyDescent="0.3">
      <c r="B20" s="236" t="s">
        <v>164</v>
      </c>
      <c r="C20" s="237"/>
      <c r="D20" s="105" t="s">
        <v>29</v>
      </c>
      <c r="E20" s="106">
        <f>E16-E17-E18-E19</f>
        <v>209.22885714285715</v>
      </c>
      <c r="F20" s="48">
        <v>1</v>
      </c>
      <c r="G20" s="106">
        <f>G16-G17-G18-G19</f>
        <v>204.22885714285715</v>
      </c>
      <c r="H20" s="46">
        <v>1</v>
      </c>
    </row>
    <row r="21" spans="1:8" x14ac:dyDescent="0.3">
      <c r="A21" s="94"/>
      <c r="B21" s="236"/>
      <c r="C21" s="237"/>
      <c r="D21" s="105" t="s">
        <v>165</v>
      </c>
      <c r="E21" s="107">
        <f>E20*H2</f>
        <v>1673.8308571428572</v>
      </c>
      <c r="F21" s="108"/>
      <c r="G21" s="107">
        <f>G20*H2</f>
        <v>1633.8308571428572</v>
      </c>
      <c r="H21" s="109"/>
    </row>
    <row r="22" spans="1:8" ht="15" thickBot="1" x14ac:dyDescent="0.35">
      <c r="B22" s="238"/>
      <c r="C22" s="239"/>
      <c r="D22" s="66" t="s">
        <v>166</v>
      </c>
      <c r="E22" s="67">
        <f>E21/F2</f>
        <v>41.845771428571432</v>
      </c>
      <c r="F22" s="68"/>
      <c r="G22" s="67">
        <f>G21/F2</f>
        <v>40.845771428571432</v>
      </c>
      <c r="H22" s="69"/>
    </row>
    <row r="23" spans="1:8" ht="7.2" customHeight="1" thickBot="1" x14ac:dyDescent="0.35">
      <c r="B23" s="93"/>
      <c r="C23" s="93"/>
      <c r="D23" s="47"/>
      <c r="E23" s="47"/>
      <c r="F23" s="47"/>
      <c r="G23" s="47"/>
      <c r="H23" s="47"/>
    </row>
    <row r="24" spans="1:8" ht="15" thickBot="1" x14ac:dyDescent="0.35">
      <c r="B24" s="240" t="s">
        <v>32</v>
      </c>
      <c r="C24" s="241"/>
      <c r="D24" s="70" t="s">
        <v>31</v>
      </c>
      <c r="E24" s="242">
        <f>E21/E5</f>
        <v>32.078893908281998</v>
      </c>
      <c r="F24" s="243"/>
      <c r="G24" s="242">
        <f>G21/E5</f>
        <v>31.312295687885012</v>
      </c>
      <c r="H24" s="259"/>
    </row>
    <row r="25" spans="1:8" ht="7.2" customHeight="1" thickBot="1" x14ac:dyDescent="0.35">
      <c r="B25" s="93"/>
      <c r="C25" s="93"/>
      <c r="D25" s="47"/>
      <c r="E25" s="47"/>
      <c r="F25" s="47"/>
      <c r="G25" s="47"/>
      <c r="H25" s="47"/>
    </row>
    <row r="26" spans="1:8" x14ac:dyDescent="0.3">
      <c r="B26" s="260" t="s">
        <v>33</v>
      </c>
      <c r="C26" s="261"/>
      <c r="D26" s="261"/>
      <c r="E26" s="253" t="s">
        <v>157</v>
      </c>
      <c r="F26" s="253"/>
      <c r="G26" s="253"/>
      <c r="H26" s="254"/>
    </row>
    <row r="27" spans="1:8" x14ac:dyDescent="0.3">
      <c r="B27" s="229" t="s">
        <v>28</v>
      </c>
      <c r="C27" s="230"/>
      <c r="D27" s="230"/>
      <c r="E27" s="231" t="s">
        <v>171</v>
      </c>
      <c r="F27" s="231"/>
      <c r="G27" s="231" t="s">
        <v>172</v>
      </c>
      <c r="H27" s="244"/>
    </row>
    <row r="28" spans="1:8" x14ac:dyDescent="0.3">
      <c r="A28" s="94"/>
      <c r="B28" s="270" t="s">
        <v>168</v>
      </c>
      <c r="C28" s="271"/>
      <c r="D28" s="95" t="s">
        <v>29</v>
      </c>
      <c r="E28" s="96">
        <f>E11-E20</f>
        <v>51.664000000000016</v>
      </c>
      <c r="F28" s="49">
        <f>E28/E20</f>
        <v>0.24692578598144757</v>
      </c>
      <c r="G28" s="96">
        <f>G11-G20</f>
        <v>56.664000000000016</v>
      </c>
      <c r="H28" s="50">
        <f>G28/G20</f>
        <v>0.27745344508471598</v>
      </c>
    </row>
    <row r="29" spans="1:8" x14ac:dyDescent="0.3">
      <c r="A29" s="94"/>
      <c r="B29" s="270"/>
      <c r="C29" s="271"/>
      <c r="D29" s="63" t="s">
        <v>165</v>
      </c>
      <c r="E29" s="110">
        <f>E28*8</f>
        <v>413.31200000000013</v>
      </c>
      <c r="F29" s="71"/>
      <c r="G29" s="110">
        <f>G28*8</f>
        <v>453.31200000000013</v>
      </c>
      <c r="H29" s="72"/>
    </row>
    <row r="30" spans="1:8" ht="15" thickBot="1" x14ac:dyDescent="0.35">
      <c r="A30" s="94"/>
      <c r="B30" s="272"/>
      <c r="C30" s="273"/>
      <c r="D30" s="73" t="s">
        <v>166</v>
      </c>
      <c r="E30" s="74">
        <f>E29/40</f>
        <v>10.332800000000002</v>
      </c>
      <c r="F30" s="75"/>
      <c r="G30" s="74">
        <f>G29/40</f>
        <v>11.332800000000002</v>
      </c>
      <c r="H30" s="76"/>
    </row>
    <row r="31" spans="1:8" ht="7.2" customHeight="1" x14ac:dyDescent="0.3">
      <c r="B31" s="93"/>
      <c r="C31" s="93"/>
      <c r="D31" s="47"/>
      <c r="E31" s="47"/>
      <c r="F31" s="47"/>
      <c r="G31" s="47"/>
      <c r="H31" s="47"/>
    </row>
    <row r="32" spans="1:8" x14ac:dyDescent="0.3">
      <c r="B32" s="264" t="s">
        <v>173</v>
      </c>
      <c r="C32" s="265"/>
      <c r="D32" s="266"/>
      <c r="E32" s="263" t="s">
        <v>170</v>
      </c>
      <c r="F32" s="263"/>
      <c r="G32" s="263"/>
      <c r="H32" s="263"/>
    </row>
    <row r="33" spans="2:9" ht="14.4" customHeight="1" x14ac:dyDescent="0.3">
      <c r="B33" s="267"/>
      <c r="C33" s="268"/>
      <c r="D33" s="269"/>
      <c r="E33" s="262" t="s">
        <v>171</v>
      </c>
      <c r="F33" s="262"/>
      <c r="G33" s="262" t="s">
        <v>172</v>
      </c>
      <c r="H33" s="262"/>
    </row>
    <row r="34" spans="2:9" x14ac:dyDescent="0.3">
      <c r="B34" s="274" t="s">
        <v>174</v>
      </c>
      <c r="C34" s="275"/>
      <c r="D34" s="77" t="s">
        <v>31</v>
      </c>
      <c r="E34" s="111">
        <f>E21</f>
        <v>1673.8308571428572</v>
      </c>
      <c r="F34" s="78">
        <v>1</v>
      </c>
      <c r="G34" s="111">
        <f>G21</f>
        <v>1633.8308571428572</v>
      </c>
      <c r="H34" s="78">
        <v>1</v>
      </c>
    </row>
    <row r="35" spans="2:9" x14ac:dyDescent="0.3">
      <c r="B35" s="276" t="s">
        <v>175</v>
      </c>
      <c r="C35" s="277"/>
      <c r="D35" s="79" t="s">
        <v>31</v>
      </c>
      <c r="E35" s="112">
        <f>E29</f>
        <v>413.31200000000013</v>
      </c>
      <c r="F35" s="54">
        <f>E35/E34</f>
        <v>0.24692578598144757</v>
      </c>
      <c r="G35" s="112">
        <f>G29</f>
        <v>453.31200000000013</v>
      </c>
      <c r="H35" s="54">
        <f>G35/G34</f>
        <v>0.27745344508471598</v>
      </c>
    </row>
    <row r="36" spans="2:9" x14ac:dyDescent="0.3">
      <c r="B36" s="278" t="s">
        <v>176</v>
      </c>
      <c r="C36" s="279"/>
      <c r="D36" s="280"/>
      <c r="E36" s="51">
        <f>E34+E35</f>
        <v>2087.1428571428573</v>
      </c>
      <c r="F36" s="52">
        <f>F34+F35</f>
        <v>1.2469257859814475</v>
      </c>
      <c r="G36" s="51">
        <f>G34+G35</f>
        <v>2087.1428571428573</v>
      </c>
      <c r="H36" s="52">
        <f>H34+H35</f>
        <v>1.2774534450847159</v>
      </c>
    </row>
    <row r="37" spans="2:9" x14ac:dyDescent="0.3">
      <c r="B37" s="80" t="s">
        <v>177</v>
      </c>
      <c r="C37" s="55" t="s">
        <v>178</v>
      </c>
      <c r="D37" s="56" t="s">
        <v>179</v>
      </c>
      <c r="E37" s="55"/>
      <c r="F37" s="56"/>
      <c r="G37" s="81"/>
      <c r="H37" s="81"/>
    </row>
    <row r="38" spans="2:9" x14ac:dyDescent="0.3">
      <c r="B38" s="82" t="s">
        <v>180</v>
      </c>
      <c r="C38" s="113">
        <v>173.93</v>
      </c>
      <c r="D38" s="78">
        <f>C38/E36</f>
        <v>8.3334017796030113E-2</v>
      </c>
      <c r="E38" s="114"/>
      <c r="F38" s="83"/>
      <c r="G38" s="84"/>
      <c r="H38" s="84"/>
      <c r="I38" s="58"/>
    </row>
    <row r="39" spans="2:9" x14ac:dyDescent="0.3">
      <c r="B39" s="85" t="s">
        <v>181</v>
      </c>
      <c r="C39" s="115">
        <v>173.93</v>
      </c>
      <c r="D39" s="53">
        <f>C39/E36</f>
        <v>8.3334017796030113E-2</v>
      </c>
      <c r="E39" s="114"/>
      <c r="F39" s="83"/>
      <c r="G39" s="84"/>
      <c r="H39" s="84"/>
    </row>
    <row r="40" spans="2:9" x14ac:dyDescent="0.3">
      <c r="B40" s="116" t="s">
        <v>34</v>
      </c>
      <c r="C40" s="117">
        <f>SUM(C38:C39)</f>
        <v>347.86</v>
      </c>
      <c r="D40" s="118">
        <f>SUM(D38:D39)</f>
        <v>0.16666803559206023</v>
      </c>
      <c r="E40" s="117">
        <f>C40</f>
        <v>347.86</v>
      </c>
      <c r="F40" s="119">
        <f>E40/E34</f>
        <v>0.20782267127861356</v>
      </c>
      <c r="G40" s="86">
        <f>E40</f>
        <v>347.86</v>
      </c>
      <c r="H40" s="119">
        <f>G40/G34</f>
        <v>0.21291065625257938</v>
      </c>
    </row>
    <row r="41" spans="2:9" x14ac:dyDescent="0.3">
      <c r="B41" s="258" t="s">
        <v>182</v>
      </c>
      <c r="C41" s="258"/>
      <c r="D41" s="258"/>
      <c r="E41" s="51">
        <f>E36+E40</f>
        <v>2435.0028571428575</v>
      </c>
      <c r="F41" s="52">
        <f>E41/E34</f>
        <v>1.4547484572600613</v>
      </c>
      <c r="G41" s="51">
        <f>G36+G40</f>
        <v>2435.0028571428575</v>
      </c>
      <c r="H41" s="52">
        <f>G41/G34</f>
        <v>1.4903641013372955</v>
      </c>
    </row>
    <row r="42" spans="2:9" x14ac:dyDescent="0.3">
      <c r="B42" s="120" t="s">
        <v>183</v>
      </c>
      <c r="C42" s="87" t="s">
        <v>36</v>
      </c>
      <c r="D42" s="87" t="s">
        <v>37</v>
      </c>
      <c r="E42" s="126"/>
      <c r="F42" s="129"/>
      <c r="G42" s="81"/>
      <c r="H42" s="81"/>
    </row>
    <row r="43" spans="2:9" x14ac:dyDescent="0.3">
      <c r="B43" s="121" t="s">
        <v>35</v>
      </c>
      <c r="C43" s="88"/>
      <c r="D43" s="89"/>
      <c r="E43" s="127"/>
      <c r="F43" s="127"/>
      <c r="G43" s="84"/>
      <c r="H43" s="84"/>
    </row>
    <row r="44" spans="2:9" x14ac:dyDescent="0.3">
      <c r="B44" s="80" t="s">
        <v>38</v>
      </c>
      <c r="C44" s="78">
        <f>'Österreichische Werte'!B79</f>
        <v>0.1255</v>
      </c>
      <c r="D44" s="78">
        <f>'Österreichische Werte'!B79</f>
        <v>0.1255</v>
      </c>
      <c r="E44" s="57"/>
      <c r="F44" s="57"/>
      <c r="G44" s="84"/>
      <c r="H44" s="84"/>
    </row>
    <row r="45" spans="2:9" x14ac:dyDescent="0.3">
      <c r="B45" s="90" t="s">
        <v>39</v>
      </c>
      <c r="C45" s="57">
        <f>'Österreichische Werte'!B80</f>
        <v>1.0999999999999999E-2</v>
      </c>
      <c r="D45" s="57">
        <f>'Österreichische Werte'!B80</f>
        <v>1.0999999999999999E-2</v>
      </c>
      <c r="E45" s="57"/>
      <c r="F45" s="57"/>
      <c r="G45" s="84"/>
      <c r="H45" s="84"/>
    </row>
    <row r="46" spans="2:9" x14ac:dyDescent="0.3">
      <c r="B46" s="90" t="s">
        <v>40</v>
      </c>
      <c r="C46" s="57">
        <f>'Österreichische Werte'!B81</f>
        <v>3.78E-2</v>
      </c>
      <c r="D46" s="57">
        <f>'Österreichische Werte'!B81</f>
        <v>3.78E-2</v>
      </c>
      <c r="E46" s="57"/>
      <c r="F46" s="57"/>
      <c r="G46" s="84"/>
      <c r="H46" s="84"/>
    </row>
    <row r="47" spans="2:9" x14ac:dyDescent="0.3">
      <c r="B47" s="90" t="s">
        <v>41</v>
      </c>
      <c r="C47" s="57">
        <f>'Österreichische Werte'!B82+'Österreichische Werte'!B83</f>
        <v>3.0499999999999999E-2</v>
      </c>
      <c r="D47" s="57">
        <f>'Österreichische Werte'!B82+'Österreichische Werte'!B83</f>
        <v>3.0499999999999999E-2</v>
      </c>
      <c r="E47" s="57"/>
      <c r="F47" s="57"/>
      <c r="G47" s="84"/>
      <c r="H47" s="84"/>
    </row>
    <row r="48" spans="2:9" x14ac:dyDescent="0.3">
      <c r="B48" s="91" t="s">
        <v>42</v>
      </c>
      <c r="C48" s="53">
        <f>'Österreichische Werte'!B84</f>
        <v>5.0000000000000001E-3</v>
      </c>
      <c r="D48" s="92"/>
      <c r="E48" s="57"/>
      <c r="F48" s="130"/>
      <c r="G48" s="84"/>
      <c r="H48" s="84"/>
    </row>
    <row r="49" spans="2:8" x14ac:dyDescent="0.3">
      <c r="B49" s="59" t="s">
        <v>184</v>
      </c>
      <c r="C49" s="52">
        <f>SUM(C44:C48)</f>
        <v>0.20980000000000001</v>
      </c>
      <c r="D49" s="52">
        <f>SUM(D44:D48)</f>
        <v>0.20480000000000001</v>
      </c>
      <c r="E49" s="57"/>
      <c r="F49" s="131"/>
      <c r="G49" s="84"/>
      <c r="H49" s="84"/>
    </row>
    <row r="50" spans="2:8" x14ac:dyDescent="0.3">
      <c r="B50" s="121" t="s">
        <v>43</v>
      </c>
      <c r="C50" s="122"/>
      <c r="D50" s="123"/>
      <c r="E50" s="127"/>
      <c r="F50" s="127"/>
      <c r="G50" s="84"/>
      <c r="H50" s="84"/>
    </row>
    <row r="51" spans="2:8" x14ac:dyDescent="0.3">
      <c r="B51" s="80" t="s">
        <v>185</v>
      </c>
      <c r="C51" s="78">
        <f>'Österreichische Werte'!B87</f>
        <v>3.6999999999999998E-2</v>
      </c>
      <c r="D51" s="78">
        <f>'Österreichische Werte'!B87</f>
        <v>3.6999999999999998E-2</v>
      </c>
      <c r="E51" s="57"/>
      <c r="F51" s="57"/>
      <c r="G51" s="84"/>
      <c r="H51" s="84"/>
    </row>
    <row r="52" spans="2:8" x14ac:dyDescent="0.3">
      <c r="B52" s="90" t="s">
        <v>186</v>
      </c>
      <c r="C52" s="168">
        <f>VLOOKUP(Unternehmensdaten!B5,DZ,2,0)</f>
        <v>3.5999999999999999E-3</v>
      </c>
      <c r="D52" s="168">
        <f>VLOOKUP(Unternehmensdaten!B5,DZ,2,0)</f>
        <v>3.5999999999999999E-3</v>
      </c>
      <c r="E52" s="57"/>
      <c r="F52" s="57"/>
      <c r="G52" s="84"/>
      <c r="H52" s="84"/>
    </row>
    <row r="53" spans="2:8" x14ac:dyDescent="0.3">
      <c r="B53" s="90" t="s">
        <v>44</v>
      </c>
      <c r="C53" s="217">
        <f>'Österreichische Werte'!B89</f>
        <v>0.03</v>
      </c>
      <c r="D53" s="217">
        <f>'Österreichische Werte'!B89</f>
        <v>0.03</v>
      </c>
      <c r="E53" s="57"/>
      <c r="F53" s="57"/>
      <c r="G53" s="84"/>
      <c r="H53" s="84"/>
    </row>
    <row r="54" spans="2:8" x14ac:dyDescent="0.3">
      <c r="B54" s="91" t="s">
        <v>451</v>
      </c>
      <c r="C54" s="216">
        <f>IF(Unternehmensdaten!B80="ja",'Österreichische Werte'!B100,)</f>
        <v>2E-3</v>
      </c>
      <c r="D54" s="216">
        <f>IF(Unternehmensdaten!B80="ja",'Österreichische Werte'!B100,)</f>
        <v>2E-3</v>
      </c>
      <c r="E54" s="57"/>
      <c r="F54" s="57"/>
      <c r="G54" s="84"/>
      <c r="H54" s="84"/>
    </row>
    <row r="55" spans="2:8" x14ac:dyDescent="0.3">
      <c r="B55" s="59" t="s">
        <v>45</v>
      </c>
      <c r="C55" s="52">
        <f>SUM(C51:C54)</f>
        <v>7.2599999999999998E-2</v>
      </c>
      <c r="D55" s="52">
        <f>SUM(D51:D54)</f>
        <v>7.2599999999999998E-2</v>
      </c>
      <c r="E55" s="57"/>
      <c r="F55" s="131"/>
      <c r="G55" s="84"/>
      <c r="H55" s="84"/>
    </row>
    <row r="56" spans="2:8" x14ac:dyDescent="0.3">
      <c r="B56" s="80" t="s">
        <v>187</v>
      </c>
      <c r="C56" s="78">
        <f>C55+C49</f>
        <v>0.28239999999999998</v>
      </c>
      <c r="D56" s="124"/>
      <c r="E56" s="57"/>
      <c r="F56" s="57"/>
      <c r="G56" s="84"/>
      <c r="H56" s="84"/>
    </row>
    <row r="57" spans="2:8" x14ac:dyDescent="0.3">
      <c r="B57" s="91"/>
      <c r="C57" s="53" t="s">
        <v>46</v>
      </c>
      <c r="D57" s="125"/>
      <c r="E57" s="128">
        <f>F36</f>
        <v>1.2469257859814475</v>
      </c>
      <c r="F57" s="57">
        <f>$C$56*E57</f>
        <v>0.35213184196116076</v>
      </c>
      <c r="G57" s="128">
        <f>H36</f>
        <v>1.2774534450847159</v>
      </c>
      <c r="H57" s="57">
        <f>$C$56*G57</f>
        <v>0.36075285289192377</v>
      </c>
    </row>
    <row r="58" spans="2:8" x14ac:dyDescent="0.3">
      <c r="B58" s="80" t="s">
        <v>47</v>
      </c>
      <c r="C58" s="80"/>
      <c r="D58" s="78">
        <f>D55+D49</f>
        <v>0.27739999999999998</v>
      </c>
      <c r="E58" s="57"/>
      <c r="F58" s="83"/>
      <c r="G58" s="84"/>
      <c r="H58" s="84"/>
    </row>
    <row r="59" spans="2:8" x14ac:dyDescent="0.3">
      <c r="B59" s="90"/>
      <c r="C59" s="90"/>
      <c r="D59" s="132" t="s">
        <v>48</v>
      </c>
      <c r="E59" s="133">
        <f>F40</f>
        <v>0.20782267127861356</v>
      </c>
      <c r="F59" s="57">
        <f>$D$58*E59</f>
        <v>5.7650009012687395E-2</v>
      </c>
      <c r="G59" s="133">
        <f>H40</f>
        <v>0.21291065625257938</v>
      </c>
      <c r="H59" s="57">
        <f>$D$58*G59</f>
        <v>5.9061416044465513E-2</v>
      </c>
    </row>
    <row r="60" spans="2:8" ht="28.8" x14ac:dyDescent="0.3">
      <c r="B60" s="140" t="s">
        <v>49</v>
      </c>
      <c r="C60" s="134"/>
      <c r="D60" s="135"/>
      <c r="E60" s="136"/>
      <c r="F60" s="139">
        <f>SUM(F57:F59)</f>
        <v>0.40978185097384817</v>
      </c>
      <c r="G60" s="138"/>
      <c r="H60" s="139">
        <f>SUM(H57:H59)</f>
        <v>0.41981426893638929</v>
      </c>
    </row>
    <row r="61" spans="2:8" x14ac:dyDescent="0.3">
      <c r="B61" s="141" t="s">
        <v>188</v>
      </c>
      <c r="C61" s="215">
        <f>'Österreichische Werte'!B50</f>
        <v>1.5299999999999999E-2</v>
      </c>
      <c r="D61" s="143"/>
      <c r="E61" s="137"/>
      <c r="F61" s="137">
        <f>C61*F41</f>
        <v>2.2257651396078937E-2</v>
      </c>
      <c r="G61" s="144"/>
      <c r="H61" s="137">
        <f>C61*H41</f>
        <v>2.2802570750460618E-2</v>
      </c>
    </row>
    <row r="62" spans="2:8" x14ac:dyDescent="0.3">
      <c r="B62" s="141" t="s">
        <v>192</v>
      </c>
      <c r="C62" s="142"/>
      <c r="D62" s="143"/>
      <c r="E62" s="137"/>
      <c r="F62" s="196">
        <f>IF(ISERROR(Kalkulation!$E$49-'Übersicht LZ_NLZ'!F61),0,Kalkulation!$E$49-'Übersicht LZ_NLZ'!F61)</f>
        <v>-2.6116310104101759E-8</v>
      </c>
      <c r="G62" s="144"/>
      <c r="H62" s="196">
        <f>IF(ISERROR(Kalkulation!$E$49-'Übersicht LZ_NLZ'!F61),0,Kalkulation!$E$49-'Übersicht LZ_NLZ'!F61)</f>
        <v>-2.6116310104101759E-8</v>
      </c>
    </row>
    <row r="63" spans="2:8" x14ac:dyDescent="0.3">
      <c r="B63" s="141" t="s">
        <v>191</v>
      </c>
      <c r="C63" s="142"/>
      <c r="D63" s="143"/>
      <c r="E63" s="148"/>
      <c r="F63" s="148"/>
      <c r="G63" s="81"/>
      <c r="H63" s="81"/>
    </row>
    <row r="64" spans="2:8" x14ac:dyDescent="0.3">
      <c r="B64" s="150" t="s">
        <v>97</v>
      </c>
      <c r="C64" s="153"/>
      <c r="D64" s="193">
        <f>Kalkulation!D56</f>
        <v>2.7300000000000001E-2</v>
      </c>
      <c r="E64" s="131"/>
      <c r="F64" s="131"/>
      <c r="G64" s="84"/>
      <c r="H64" s="84"/>
    </row>
    <row r="65" spans="2:8" x14ac:dyDescent="0.3">
      <c r="B65" s="151" t="s">
        <v>3</v>
      </c>
      <c r="C65" s="154"/>
      <c r="D65" s="194">
        <f>Kalkulation!D57</f>
        <v>1.100000000000001E-2</v>
      </c>
      <c r="E65" s="131"/>
      <c r="F65" s="131"/>
      <c r="G65" s="84"/>
      <c r="H65" s="84"/>
    </row>
    <row r="66" spans="2:8" x14ac:dyDescent="0.3">
      <c r="B66" s="151" t="s">
        <v>189</v>
      </c>
      <c r="C66" s="154"/>
      <c r="D66" s="194">
        <f>Kalkulation!D58</f>
        <v>7.0000000000000062E-3</v>
      </c>
      <c r="E66" s="131"/>
      <c r="F66" s="131"/>
      <c r="G66" s="84"/>
      <c r="H66" s="84"/>
    </row>
    <row r="67" spans="2:8" x14ac:dyDescent="0.3">
      <c r="B67" s="151" t="s">
        <v>393</v>
      </c>
      <c r="C67" s="154"/>
      <c r="D67" s="194">
        <v>0</v>
      </c>
      <c r="E67" s="131"/>
      <c r="F67" s="131"/>
      <c r="G67" s="84"/>
      <c r="H67" s="84"/>
    </row>
    <row r="68" spans="2:8" x14ac:dyDescent="0.3">
      <c r="B68" s="152" t="s">
        <v>126</v>
      </c>
      <c r="C68" s="155"/>
      <c r="D68" s="195">
        <f>Kalkulation!D59</f>
        <v>4.8701727834836797E-3</v>
      </c>
      <c r="E68" s="119"/>
      <c r="F68" s="119"/>
      <c r="G68" s="149"/>
      <c r="H68" s="149"/>
    </row>
    <row r="69" spans="2:8" x14ac:dyDescent="0.3">
      <c r="B69" s="145" t="s">
        <v>190</v>
      </c>
      <c r="C69" s="142"/>
      <c r="D69" s="147">
        <f>SUM(D64:D68)</f>
        <v>5.0170172783483701E-2</v>
      </c>
      <c r="E69" s="146"/>
      <c r="F69" s="137">
        <f>$D$69*F36</f>
        <v>6.2558482130870438E-2</v>
      </c>
      <c r="G69" s="138"/>
      <c r="H69" s="137">
        <f>$D$69*F36</f>
        <v>6.2558482130870438E-2</v>
      </c>
    </row>
    <row r="70" spans="2:8" ht="18" x14ac:dyDescent="0.35">
      <c r="B70" s="156" t="s">
        <v>50</v>
      </c>
      <c r="C70" s="157"/>
      <c r="D70" s="158"/>
      <c r="E70" s="159"/>
      <c r="F70" s="160">
        <f>F35+F40+F60+F61+F62+F69</f>
        <v>0.94934641564454858</v>
      </c>
      <c r="G70" s="159"/>
      <c r="H70" s="161">
        <f>H35+H40+H60+H61+H62+H69</f>
        <v>0.99553939703870564</v>
      </c>
    </row>
    <row r="71" spans="2:8" x14ac:dyDescent="0.3">
      <c r="F71" s="31"/>
    </row>
  </sheetData>
  <sheetProtection algorithmName="SHA-512" hashValue="jCnkMzu6VsweuJAdJi/M6/QZoBIUDtul8AVVjrxEBzavCrGsh2uV97uwG3qR6Q6Ua1pd0sWkt+CoJd5L7aoCAw==" saltValue="zuJi7Nk9xk8RnaJsB7KxGw==" spinCount="100000" sheet="1" objects="1" scenarios="1"/>
  <mergeCells count="38">
    <mergeCell ref="B41:D41"/>
    <mergeCell ref="G24:H24"/>
    <mergeCell ref="B26:D26"/>
    <mergeCell ref="E26:H26"/>
    <mergeCell ref="G27:H27"/>
    <mergeCell ref="E33:F33"/>
    <mergeCell ref="G33:H33"/>
    <mergeCell ref="E32:H32"/>
    <mergeCell ref="B32:D33"/>
    <mergeCell ref="B28:C30"/>
    <mergeCell ref="B34:C34"/>
    <mergeCell ref="B35:C35"/>
    <mergeCell ref="B36:D36"/>
    <mergeCell ref="G10:H10"/>
    <mergeCell ref="B9:D9"/>
    <mergeCell ref="B1:C1"/>
    <mergeCell ref="B2:C2"/>
    <mergeCell ref="B3:C3"/>
    <mergeCell ref="B4:C4"/>
    <mergeCell ref="B5:C5"/>
    <mergeCell ref="E9:H9"/>
    <mergeCell ref="B7:H7"/>
    <mergeCell ref="B12:C12"/>
    <mergeCell ref="B10:D10"/>
    <mergeCell ref="E10:F10"/>
    <mergeCell ref="B11:C11"/>
    <mergeCell ref="E27:F27"/>
    <mergeCell ref="B13:C13"/>
    <mergeCell ref="B14:C14"/>
    <mergeCell ref="B15:C15"/>
    <mergeCell ref="B16:C16"/>
    <mergeCell ref="B17:C17"/>
    <mergeCell ref="B18:C18"/>
    <mergeCell ref="B19:C19"/>
    <mergeCell ref="B20:C22"/>
    <mergeCell ref="B24:C24"/>
    <mergeCell ref="B27:D27"/>
    <mergeCell ref="E24:F24"/>
  </mergeCells>
  <pageMargins left="0.7" right="0.7" top="0.78740157499999996" bottom="0.78740157499999996"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BW105"/>
  <sheetViews>
    <sheetView zoomScaleNormal="100" workbookViewId="0">
      <selection activeCell="B4" sqref="B4"/>
    </sheetView>
  </sheetViews>
  <sheetFormatPr baseColWidth="10" defaultRowHeight="14.4" x14ac:dyDescent="0.3"/>
  <cols>
    <col min="1" max="1" width="23.6640625" customWidth="1"/>
    <col min="2" max="2" width="20.21875" customWidth="1"/>
    <col min="3" max="3" width="18.6640625" customWidth="1"/>
    <col min="4" max="4" width="26" customWidth="1"/>
    <col min="5" max="5" width="18.21875" customWidth="1"/>
    <col min="6" max="6" width="20.5546875" customWidth="1"/>
    <col min="7" max="7" width="25.33203125" customWidth="1"/>
    <col min="8" max="8" width="20.44140625" customWidth="1"/>
    <col min="9" max="9" width="20" customWidth="1"/>
    <col min="10" max="10" width="9.77734375" customWidth="1"/>
    <col min="11" max="11" width="10.44140625" customWidth="1"/>
    <col min="12" max="12" width="14.88671875" customWidth="1"/>
    <col min="13" max="14" width="14.33203125" customWidth="1"/>
    <col min="15" max="15" width="13.88671875" bestFit="1" customWidth="1"/>
    <col min="16" max="16" width="8.88671875" bestFit="1" customWidth="1"/>
    <col min="17" max="17" width="10.109375" bestFit="1" customWidth="1"/>
    <col min="18" max="18" width="14.5546875" bestFit="1" customWidth="1"/>
    <col min="19" max="19" width="14" bestFit="1" customWidth="1"/>
    <col min="20" max="20" width="14.44140625" bestFit="1" customWidth="1"/>
    <col min="21" max="21" width="13.88671875" customWidth="1"/>
    <col min="22" max="22" width="8.88671875" bestFit="1" customWidth="1"/>
    <col min="23" max="23" width="10.109375" bestFit="1" customWidth="1"/>
    <col min="24" max="24" width="14.5546875" bestFit="1" customWidth="1"/>
    <col min="25" max="25" width="14" bestFit="1" customWidth="1"/>
    <col min="26" max="26" width="14.44140625" bestFit="1" customWidth="1"/>
    <col min="27" max="27" width="13.88671875" bestFit="1" customWidth="1"/>
    <col min="28" max="28" width="8.88671875" bestFit="1" customWidth="1"/>
    <col min="29" max="29" width="10.109375" bestFit="1" customWidth="1"/>
    <col min="30" max="30" width="14.5546875" bestFit="1" customWidth="1"/>
    <col min="31" max="31" width="14" bestFit="1" customWidth="1"/>
    <col min="32" max="32" width="14.44140625" bestFit="1" customWidth="1"/>
    <col min="34" max="34" width="8.88671875" bestFit="1" customWidth="1"/>
    <col min="35" max="35" width="10.109375" bestFit="1" customWidth="1"/>
    <col min="36" max="36" width="14.5546875" bestFit="1" customWidth="1"/>
    <col min="37" max="37" width="14" bestFit="1" customWidth="1"/>
    <col min="38" max="38" width="14.44140625" bestFit="1" customWidth="1"/>
    <col min="39" max="39" width="13.88671875" bestFit="1" customWidth="1"/>
    <col min="40" max="40" width="8.88671875" bestFit="1" customWidth="1"/>
    <col min="41" max="41" width="10.109375" bestFit="1" customWidth="1"/>
    <col min="42" max="42" width="14.5546875" bestFit="1" customWidth="1"/>
    <col min="43" max="43" width="14" bestFit="1" customWidth="1"/>
    <col min="44" max="44" width="14.44140625" bestFit="1" customWidth="1"/>
    <col min="45" max="45" width="13.88671875" bestFit="1" customWidth="1"/>
    <col min="46" max="46" width="8.88671875" bestFit="1" customWidth="1"/>
    <col min="47" max="47" width="10.109375" bestFit="1" customWidth="1"/>
    <col min="48" max="48" width="14.5546875" bestFit="1" customWidth="1"/>
    <col min="49" max="49" width="14" bestFit="1" customWidth="1"/>
    <col min="50" max="50" width="14.44140625" bestFit="1" customWidth="1"/>
    <col min="51" max="51" width="5.5546875" bestFit="1" customWidth="1"/>
    <col min="52" max="52" width="8.88671875" bestFit="1" customWidth="1"/>
    <col min="53" max="53" width="10.109375" bestFit="1" customWidth="1"/>
    <col min="54" max="54" width="14.5546875" bestFit="1" customWidth="1"/>
    <col min="55" max="55" width="14" bestFit="1" customWidth="1"/>
    <col min="56" max="56" width="14.44140625" bestFit="1" customWidth="1"/>
    <col min="58" max="58" width="8.88671875" bestFit="1" customWidth="1"/>
    <col min="59" max="59" width="10.109375" bestFit="1" customWidth="1"/>
    <col min="60" max="60" width="14.5546875" bestFit="1" customWidth="1"/>
    <col min="61" max="61" width="14" bestFit="1" customWidth="1"/>
    <col min="62" max="62" width="14.44140625" bestFit="1" customWidth="1"/>
    <col min="64" max="64" width="8.88671875" bestFit="1" customWidth="1"/>
    <col min="65" max="65" width="10.109375" bestFit="1" customWidth="1"/>
    <col min="66" max="66" width="14.5546875" bestFit="1" customWidth="1"/>
    <col min="67" max="67" width="14" bestFit="1" customWidth="1"/>
    <col min="68" max="68" width="14.44140625" bestFit="1" customWidth="1"/>
    <col min="70" max="70" width="8.88671875" bestFit="1" customWidth="1"/>
    <col min="71" max="71" width="10.109375" bestFit="1" customWidth="1"/>
    <col min="72" max="72" width="14.5546875" bestFit="1" customWidth="1"/>
    <col min="73" max="73" width="14" bestFit="1" customWidth="1"/>
    <col min="74" max="74" width="14.44140625" bestFit="1" customWidth="1"/>
    <col min="75" max="75" width="5.88671875" bestFit="1" customWidth="1"/>
  </cols>
  <sheetData>
    <row r="1" spans="1:75" x14ac:dyDescent="0.3">
      <c r="A1" s="32" t="s">
        <v>4</v>
      </c>
      <c r="B1" s="29"/>
      <c r="C1" s="29"/>
      <c r="D1" s="29"/>
      <c r="E1" s="29"/>
      <c r="F1" s="29"/>
      <c r="G1" s="29"/>
      <c r="H1" s="29"/>
      <c r="I1" s="29"/>
    </row>
    <row r="2" spans="1:75" x14ac:dyDescent="0.3">
      <c r="A2" t="s">
        <v>147</v>
      </c>
      <c r="B2" s="223" t="s">
        <v>492</v>
      </c>
      <c r="F2" t="s">
        <v>426</v>
      </c>
      <c r="G2" s="205" t="s">
        <v>483</v>
      </c>
    </row>
    <row r="3" spans="1:75" x14ac:dyDescent="0.3">
      <c r="A3" t="s">
        <v>154</v>
      </c>
      <c r="B3" s="205" t="s">
        <v>467</v>
      </c>
    </row>
    <row r="4" spans="1:75" x14ac:dyDescent="0.3">
      <c r="B4" s="205"/>
    </row>
    <row r="5" spans="1:75" x14ac:dyDescent="0.3">
      <c r="A5" s="39" t="s">
        <v>482</v>
      </c>
      <c r="B5" s="39" t="s">
        <v>146</v>
      </c>
      <c r="C5" s="39" t="s">
        <v>151</v>
      </c>
      <c r="D5" s="39" t="s">
        <v>153</v>
      </c>
      <c r="F5" t="s">
        <v>152</v>
      </c>
      <c r="J5" s="39" t="s">
        <v>479</v>
      </c>
      <c r="K5" s="39" t="s">
        <v>146</v>
      </c>
      <c r="L5" s="39" t="s">
        <v>151</v>
      </c>
      <c r="M5" s="39" t="s">
        <v>153</v>
      </c>
      <c r="N5" s="39" t="s">
        <v>481</v>
      </c>
      <c r="O5" s="39"/>
      <c r="P5" s="39" t="s">
        <v>460</v>
      </c>
      <c r="Q5" s="39" t="s">
        <v>146</v>
      </c>
      <c r="R5" s="39" t="s">
        <v>151</v>
      </c>
      <c r="S5" s="39" t="s">
        <v>153</v>
      </c>
      <c r="T5" s="39" t="s">
        <v>480</v>
      </c>
      <c r="U5" s="39"/>
      <c r="V5" s="39" t="s">
        <v>432</v>
      </c>
      <c r="W5" s="39" t="s">
        <v>146</v>
      </c>
      <c r="X5" s="39" t="s">
        <v>151</v>
      </c>
      <c r="Y5" s="39" t="s">
        <v>153</v>
      </c>
      <c r="Z5" s="39" t="s">
        <v>459</v>
      </c>
      <c r="AA5" s="39"/>
      <c r="AB5" s="39" t="s">
        <v>427</v>
      </c>
      <c r="AC5" s="39" t="s">
        <v>146</v>
      </c>
      <c r="AD5" s="39" t="s">
        <v>151</v>
      </c>
      <c r="AE5" s="39" t="s">
        <v>153</v>
      </c>
      <c r="AF5" s="39" t="s">
        <v>458</v>
      </c>
      <c r="AG5" s="39"/>
      <c r="AH5" s="39" t="s">
        <v>408</v>
      </c>
      <c r="AI5" s="39" t="s">
        <v>146</v>
      </c>
      <c r="AJ5" s="39" t="s">
        <v>151</v>
      </c>
      <c r="AK5" s="39" t="s">
        <v>153</v>
      </c>
      <c r="AL5" s="39" t="s">
        <v>431</v>
      </c>
      <c r="AN5" s="39" t="s">
        <v>384</v>
      </c>
      <c r="AO5" s="39" t="s">
        <v>146</v>
      </c>
      <c r="AP5" s="39" t="s">
        <v>151</v>
      </c>
      <c r="AQ5" s="39" t="s">
        <v>153</v>
      </c>
      <c r="AR5" s="39" t="s">
        <v>425</v>
      </c>
      <c r="AS5" s="39"/>
      <c r="AT5" s="39" t="s">
        <v>374</v>
      </c>
      <c r="AU5" s="39" t="s">
        <v>146</v>
      </c>
      <c r="AV5" s="39" t="s">
        <v>151</v>
      </c>
      <c r="AW5" s="39" t="s">
        <v>153</v>
      </c>
      <c r="AX5" s="39" t="s">
        <v>383</v>
      </c>
      <c r="AZ5" s="39" t="s">
        <v>366</v>
      </c>
      <c r="BA5" s="39" t="s">
        <v>146</v>
      </c>
      <c r="BB5" s="39" t="s">
        <v>151</v>
      </c>
      <c r="BC5" s="39" t="s">
        <v>153</v>
      </c>
      <c r="BD5" s="39" t="s">
        <v>373</v>
      </c>
      <c r="BE5" s="39"/>
      <c r="BF5" s="39" t="s">
        <v>348</v>
      </c>
      <c r="BG5" s="39" t="s">
        <v>146</v>
      </c>
      <c r="BH5" s="39" t="s">
        <v>151</v>
      </c>
      <c r="BI5" s="39" t="s">
        <v>153</v>
      </c>
      <c r="BJ5" s="39" t="s">
        <v>372</v>
      </c>
      <c r="BL5" s="39" t="s">
        <v>293</v>
      </c>
      <c r="BM5" s="39" t="s">
        <v>146</v>
      </c>
      <c r="BN5" s="39" t="s">
        <v>151</v>
      </c>
      <c r="BO5" s="39" t="s">
        <v>153</v>
      </c>
      <c r="BP5" s="39" t="s">
        <v>347</v>
      </c>
      <c r="BR5" s="39" t="s">
        <v>145</v>
      </c>
      <c r="BS5" s="39" t="s">
        <v>146</v>
      </c>
      <c r="BT5" s="39" t="s">
        <v>151</v>
      </c>
      <c r="BU5" s="39" t="s">
        <v>153</v>
      </c>
      <c r="BV5" s="39" t="s">
        <v>346</v>
      </c>
    </row>
    <row r="6" spans="1:75" x14ac:dyDescent="0.3">
      <c r="A6" t="s">
        <v>148</v>
      </c>
      <c r="B6">
        <v>100</v>
      </c>
      <c r="C6" s="162">
        <v>335</v>
      </c>
      <c r="D6" s="162">
        <f>C6*12</f>
        <v>4020</v>
      </c>
      <c r="J6" t="s">
        <v>148</v>
      </c>
      <c r="K6">
        <v>100</v>
      </c>
      <c r="L6" s="162">
        <v>320</v>
      </c>
      <c r="M6" s="162">
        <v>3840</v>
      </c>
      <c r="N6" s="12">
        <f>C6/L6-1</f>
        <v>4.6875E-2</v>
      </c>
      <c r="O6" s="12"/>
      <c r="P6" t="s">
        <v>148</v>
      </c>
      <c r="Q6">
        <v>100</v>
      </c>
      <c r="R6" s="162">
        <v>292</v>
      </c>
      <c r="S6" s="162">
        <f>R6*12</f>
        <v>3504</v>
      </c>
      <c r="T6" s="12">
        <f>I6/R6-1</f>
        <v>-1</v>
      </c>
      <c r="U6" s="12"/>
      <c r="V6" t="s">
        <v>148</v>
      </c>
      <c r="W6">
        <v>100</v>
      </c>
      <c r="X6" s="162">
        <v>276</v>
      </c>
      <c r="Y6" s="162">
        <f>X6*12</f>
        <v>3312</v>
      </c>
      <c r="Z6" s="12">
        <f>R6/X6-1</f>
        <v>5.7971014492753659E-2</v>
      </c>
      <c r="AA6" s="12"/>
      <c r="AB6" t="s">
        <v>148</v>
      </c>
      <c r="AC6">
        <v>100</v>
      </c>
      <c r="AD6" s="162">
        <v>271</v>
      </c>
      <c r="AE6" s="162">
        <f>AD6*12</f>
        <v>3252</v>
      </c>
      <c r="AF6" s="12">
        <f>X6/AD6-1</f>
        <v>1.8450184501844991E-2</v>
      </c>
      <c r="AG6" s="12"/>
      <c r="AH6" t="s">
        <v>148</v>
      </c>
      <c r="AI6">
        <v>100</v>
      </c>
      <c r="AJ6" s="162">
        <v>267</v>
      </c>
      <c r="AK6" s="162">
        <v>3204</v>
      </c>
      <c r="AL6" s="12">
        <f>AD6/AJ6-1</f>
        <v>1.4981273408239737E-2</v>
      </c>
      <c r="AN6" t="s">
        <v>148</v>
      </c>
      <c r="AO6">
        <v>100</v>
      </c>
      <c r="AP6" s="162">
        <v>262</v>
      </c>
      <c r="AQ6" s="162">
        <f>AP6*12</f>
        <v>3144</v>
      </c>
      <c r="AR6" s="12">
        <f>AJ6/AP6-1</f>
        <v>1.9083969465648831E-2</v>
      </c>
      <c r="AS6" s="12"/>
      <c r="AT6" t="s">
        <v>148</v>
      </c>
      <c r="AU6">
        <v>100</v>
      </c>
      <c r="AV6" s="162">
        <v>257</v>
      </c>
      <c r="AW6" s="162">
        <f>AV6*12</f>
        <v>3084</v>
      </c>
      <c r="AX6" s="12">
        <f>AP6/AV6-1</f>
        <v>1.9455252918287869E-2</v>
      </c>
      <c r="AZ6" t="s">
        <v>148</v>
      </c>
      <c r="BA6">
        <v>100</v>
      </c>
      <c r="BB6" s="162">
        <v>253</v>
      </c>
      <c r="BC6" s="162">
        <f>BB6*12</f>
        <v>3036</v>
      </c>
      <c r="BD6" s="12">
        <f>AV6/BB6-1</f>
        <v>1.5810276679841806E-2</v>
      </c>
      <c r="BE6" s="12"/>
      <c r="BF6" t="s">
        <v>148</v>
      </c>
      <c r="BG6">
        <v>100</v>
      </c>
      <c r="BH6" s="162">
        <v>251</v>
      </c>
      <c r="BI6" s="162">
        <f>BH6*12</f>
        <v>3012</v>
      </c>
      <c r="BJ6" s="12">
        <f>BB6/BH6-1</f>
        <v>7.9681274900398336E-3</v>
      </c>
      <c r="BL6" t="s">
        <v>148</v>
      </c>
      <c r="BM6">
        <v>100</v>
      </c>
      <c r="BN6" s="162">
        <v>248</v>
      </c>
      <c r="BO6" s="162">
        <f>BN6*12</f>
        <v>2976</v>
      </c>
      <c r="BP6" s="12">
        <f>BH6/BN6-1</f>
        <v>1.2096774193548487E-2</v>
      </c>
      <c r="BR6" t="s">
        <v>148</v>
      </c>
      <c r="BS6">
        <v>100</v>
      </c>
      <c r="BT6" s="162">
        <v>244</v>
      </c>
      <c r="BU6" s="162">
        <f>BT6*12</f>
        <v>2928</v>
      </c>
      <c r="BV6" s="12">
        <f>BN6/BT6-1</f>
        <v>1.6393442622950838E-2</v>
      </c>
      <c r="BW6" s="12">
        <v>1.63934426229508E-2</v>
      </c>
    </row>
    <row r="7" spans="1:75" x14ac:dyDescent="0.3">
      <c r="A7" t="s">
        <v>149</v>
      </c>
      <c r="B7">
        <v>399</v>
      </c>
      <c r="C7" s="162">
        <v>472</v>
      </c>
      <c r="D7" s="162">
        <f>C7*12</f>
        <v>5664</v>
      </c>
      <c r="E7" t="s">
        <v>305</v>
      </c>
      <c r="F7" s="162">
        <f>IF(Unternehmensdaten!B11&lt;100,'Österreichische Werte'!D6,IF(Unternehmensdaten!B11&lt;399,'Österreichische Werte'!D7,'Österreichische Werte'!D8))</f>
        <v>4020</v>
      </c>
      <c r="J7" t="s">
        <v>149</v>
      </c>
      <c r="K7">
        <v>399</v>
      </c>
      <c r="L7" s="162">
        <v>451</v>
      </c>
      <c r="M7" s="162">
        <v>5412</v>
      </c>
      <c r="N7" s="12">
        <f t="shared" ref="N7:N8" si="0">C7/L7-1</f>
        <v>4.6563192904656381E-2</v>
      </c>
      <c r="O7" s="12"/>
      <c r="P7" t="s">
        <v>149</v>
      </c>
      <c r="Q7">
        <v>399</v>
      </c>
      <c r="R7" s="162">
        <v>411</v>
      </c>
      <c r="S7" s="162">
        <f>R7*12</f>
        <v>4932</v>
      </c>
      <c r="T7" s="12">
        <f t="shared" ref="T7:T8" si="1">I7/R7-1</f>
        <v>-1</v>
      </c>
      <c r="U7" s="12"/>
      <c r="V7" t="s">
        <v>149</v>
      </c>
      <c r="W7">
        <v>399</v>
      </c>
      <c r="X7" s="162">
        <v>388</v>
      </c>
      <c r="Y7" s="162">
        <f>X7*12</f>
        <v>4656</v>
      </c>
      <c r="Z7" s="12">
        <f>R7/X7-1</f>
        <v>5.9278350515463929E-2</v>
      </c>
      <c r="AA7" s="12"/>
      <c r="AB7" t="s">
        <v>149</v>
      </c>
      <c r="AC7">
        <v>399</v>
      </c>
      <c r="AD7" s="162">
        <v>381</v>
      </c>
      <c r="AE7" s="162">
        <f>AD7*12</f>
        <v>4572</v>
      </c>
      <c r="AF7" s="12">
        <f t="shared" ref="AF7:AF8" si="2">X7/AD7-1</f>
        <v>1.8372703412073532E-2</v>
      </c>
      <c r="AG7" s="12"/>
      <c r="AH7" t="s">
        <v>149</v>
      </c>
      <c r="AI7">
        <v>399</v>
      </c>
      <c r="AJ7" s="162">
        <v>375</v>
      </c>
      <c r="AK7" s="162">
        <v>4500</v>
      </c>
      <c r="AL7" s="12">
        <f>AD7/AJ7-1</f>
        <v>1.6000000000000014E-2</v>
      </c>
      <c r="AN7" t="s">
        <v>149</v>
      </c>
      <c r="AO7">
        <v>399</v>
      </c>
      <c r="AP7" s="162">
        <v>368</v>
      </c>
      <c r="AQ7" s="162">
        <f>AP7*12</f>
        <v>4416</v>
      </c>
      <c r="AR7" s="12">
        <f>AJ7/AP7-1</f>
        <v>1.9021739130434812E-2</v>
      </c>
      <c r="AS7" s="12"/>
      <c r="AT7" t="s">
        <v>149</v>
      </c>
      <c r="AU7">
        <v>399</v>
      </c>
      <c r="AV7" s="162">
        <v>361</v>
      </c>
      <c r="AW7" s="162">
        <f>AV7*12</f>
        <v>4332</v>
      </c>
      <c r="AX7" s="12">
        <f t="shared" ref="AX7:AX8" si="3">AP7/AV7-1</f>
        <v>1.939058171745156E-2</v>
      </c>
      <c r="AZ7" t="s">
        <v>149</v>
      </c>
      <c r="BA7">
        <v>399</v>
      </c>
      <c r="BB7" s="162">
        <v>355</v>
      </c>
      <c r="BC7" s="162">
        <f>BB7*12</f>
        <v>4260</v>
      </c>
      <c r="BD7" s="12">
        <f t="shared" ref="BD7:BD8" si="4">AV7/BB7-1</f>
        <v>1.6901408450704203E-2</v>
      </c>
      <c r="BE7" s="12"/>
      <c r="BF7" t="s">
        <v>149</v>
      </c>
      <c r="BG7">
        <v>399</v>
      </c>
      <c r="BH7" s="162">
        <v>352</v>
      </c>
      <c r="BI7" s="162">
        <f>BH7*12</f>
        <v>4224</v>
      </c>
      <c r="BJ7" s="12">
        <f t="shared" ref="BJ7:BJ8" si="5">BB7/BH7-1</f>
        <v>8.5227272727272929E-3</v>
      </c>
      <c r="BL7" t="s">
        <v>149</v>
      </c>
      <c r="BM7">
        <v>399</v>
      </c>
      <c r="BN7" s="162">
        <v>348</v>
      </c>
      <c r="BO7" s="162">
        <f>BN7*12</f>
        <v>4176</v>
      </c>
      <c r="BP7" s="12">
        <f t="shared" ref="BP7:BP8" si="6">BH7/BN7-1</f>
        <v>1.1494252873563315E-2</v>
      </c>
      <c r="BR7" t="s">
        <v>149</v>
      </c>
      <c r="BS7">
        <v>399</v>
      </c>
      <c r="BT7" s="162">
        <v>342</v>
      </c>
      <c r="BU7" s="162">
        <f>BT7*12</f>
        <v>4104</v>
      </c>
      <c r="BV7" s="12">
        <f>BN7/BT7-1</f>
        <v>1.7543859649122862E-2</v>
      </c>
      <c r="BW7" s="12">
        <v>1.7543859649122862E-2</v>
      </c>
    </row>
    <row r="8" spans="1:75" x14ac:dyDescent="0.3">
      <c r="A8" t="s">
        <v>150</v>
      </c>
      <c r="B8">
        <v>400</v>
      </c>
      <c r="C8" s="162">
        <v>499</v>
      </c>
      <c r="D8" s="162">
        <f>C8*12</f>
        <v>5988</v>
      </c>
      <c r="J8" t="s">
        <v>150</v>
      </c>
      <c r="K8">
        <v>400</v>
      </c>
      <c r="L8" s="162">
        <v>477</v>
      </c>
      <c r="M8" s="162">
        <v>5724</v>
      </c>
      <c r="N8" s="12">
        <f t="shared" si="0"/>
        <v>4.6121593291404528E-2</v>
      </c>
      <c r="O8" s="12"/>
      <c r="P8" t="s">
        <v>150</v>
      </c>
      <c r="Q8">
        <v>400</v>
      </c>
      <c r="R8" s="162">
        <v>435</v>
      </c>
      <c r="S8" s="162">
        <f>R8*12</f>
        <v>5220</v>
      </c>
      <c r="T8" s="12">
        <f t="shared" si="1"/>
        <v>-1</v>
      </c>
      <c r="U8" s="12"/>
      <c r="V8" t="s">
        <v>150</v>
      </c>
      <c r="W8">
        <v>400</v>
      </c>
      <c r="X8" s="162">
        <v>411</v>
      </c>
      <c r="Y8" s="162">
        <f>X8*12</f>
        <v>4932</v>
      </c>
      <c r="Z8" s="12">
        <f>R8/X8-1</f>
        <v>5.8394160583941535E-2</v>
      </c>
      <c r="AA8" s="12"/>
      <c r="AB8" t="s">
        <v>150</v>
      </c>
      <c r="AC8">
        <v>400</v>
      </c>
      <c r="AD8" s="162">
        <v>404</v>
      </c>
      <c r="AE8" s="162">
        <f>AD8*12</f>
        <v>4848</v>
      </c>
      <c r="AF8" s="12">
        <f t="shared" si="2"/>
        <v>1.7326732673267342E-2</v>
      </c>
      <c r="AG8" s="12"/>
      <c r="AH8" t="s">
        <v>150</v>
      </c>
      <c r="AI8">
        <v>400</v>
      </c>
      <c r="AJ8" s="162">
        <v>398</v>
      </c>
      <c r="AK8" s="162">
        <v>4776</v>
      </c>
      <c r="AL8" s="12">
        <f>AD8/AJ8-1</f>
        <v>1.5075376884422065E-2</v>
      </c>
      <c r="AN8" t="s">
        <v>150</v>
      </c>
      <c r="AO8">
        <v>400</v>
      </c>
      <c r="AP8" s="162">
        <v>391</v>
      </c>
      <c r="AQ8" s="162">
        <f>AP8*12</f>
        <v>4692</v>
      </c>
      <c r="AR8" s="12">
        <f>AJ8/AP8-1</f>
        <v>1.7902813299232712E-2</v>
      </c>
      <c r="AS8" s="12"/>
      <c r="AT8" t="s">
        <v>150</v>
      </c>
      <c r="AU8">
        <v>400</v>
      </c>
      <c r="AV8" s="162">
        <v>383</v>
      </c>
      <c r="AW8" s="162">
        <f>AV8*12</f>
        <v>4596</v>
      </c>
      <c r="AX8" s="12">
        <f t="shared" si="3"/>
        <v>2.088772845953013E-2</v>
      </c>
      <c r="AZ8" t="s">
        <v>150</v>
      </c>
      <c r="BA8">
        <v>400</v>
      </c>
      <c r="BB8" s="162">
        <v>377</v>
      </c>
      <c r="BC8" s="162">
        <f>BB8*12</f>
        <v>4524</v>
      </c>
      <c r="BD8" s="12">
        <f t="shared" si="4"/>
        <v>1.5915119363395291E-2</v>
      </c>
      <c r="BE8" s="12"/>
      <c r="BF8" t="s">
        <v>150</v>
      </c>
      <c r="BG8">
        <v>400</v>
      </c>
      <c r="BH8" s="162">
        <v>374</v>
      </c>
      <c r="BI8" s="162">
        <f>BH8*12</f>
        <v>4488</v>
      </c>
      <c r="BJ8" s="12">
        <f t="shared" si="5"/>
        <v>8.0213903743315829E-3</v>
      </c>
      <c r="BL8" t="s">
        <v>150</v>
      </c>
      <c r="BM8">
        <v>400</v>
      </c>
      <c r="BN8" s="162">
        <v>370</v>
      </c>
      <c r="BO8" s="162">
        <f>BN8*12</f>
        <v>4440</v>
      </c>
      <c r="BP8" s="12">
        <f t="shared" si="6"/>
        <v>1.08108108108107E-2</v>
      </c>
      <c r="BR8" t="s">
        <v>150</v>
      </c>
      <c r="BS8">
        <v>400</v>
      </c>
      <c r="BT8" s="162">
        <v>364</v>
      </c>
      <c r="BU8" s="162">
        <f>BT8*12</f>
        <v>4368</v>
      </c>
      <c r="BV8" s="12">
        <f>BN8/BT8-1</f>
        <v>1.6483516483516425E-2</v>
      </c>
      <c r="BW8" s="12">
        <v>1.6483516483516425E-2</v>
      </c>
    </row>
    <row r="10" spans="1:75" x14ac:dyDescent="0.3">
      <c r="A10" s="32" t="s">
        <v>5</v>
      </c>
      <c r="B10" s="29"/>
      <c r="C10" s="29"/>
      <c r="D10" s="29"/>
      <c r="E10" s="29"/>
      <c r="F10" s="29"/>
      <c r="G10" s="29"/>
      <c r="H10" s="29"/>
      <c r="I10" s="29"/>
    </row>
    <row r="11" spans="1:75" x14ac:dyDescent="0.3">
      <c r="A11" t="s">
        <v>6</v>
      </c>
      <c r="B11" s="205" t="s">
        <v>375</v>
      </c>
      <c r="F11" s="205" t="s">
        <v>486</v>
      </c>
    </row>
    <row r="13" spans="1:75" x14ac:dyDescent="0.3">
      <c r="A13" s="25" t="s">
        <v>7</v>
      </c>
      <c r="B13" s="37" t="s">
        <v>485</v>
      </c>
      <c r="C13" s="37" t="s">
        <v>386</v>
      </c>
      <c r="E13" s="25" t="s">
        <v>7</v>
      </c>
      <c r="F13" s="37" t="s">
        <v>484</v>
      </c>
      <c r="G13" s="37" t="s">
        <v>461</v>
      </c>
      <c r="H13" s="37" t="s">
        <v>433</v>
      </c>
      <c r="I13" s="37" t="s">
        <v>385</v>
      </c>
      <c r="J13" s="37" t="s">
        <v>376</v>
      </c>
      <c r="K13" s="37" t="s">
        <v>349</v>
      </c>
      <c r="L13" s="37" t="s">
        <v>144</v>
      </c>
    </row>
    <row r="14" spans="1:75" x14ac:dyDescent="0.3">
      <c r="A14" s="2" t="s">
        <v>8</v>
      </c>
      <c r="B14" s="27">
        <v>4.0000000000000001E-3</v>
      </c>
      <c r="C14" s="221">
        <f>B14-F14</f>
        <v>0</v>
      </c>
      <c r="D14" s="31" t="s">
        <v>387</v>
      </c>
      <c r="E14" s="2" t="s">
        <v>8</v>
      </c>
      <c r="F14" s="27">
        <v>4.0000000000000001E-3</v>
      </c>
      <c r="G14" s="27">
        <v>4.1999999999999997E-3</v>
      </c>
      <c r="H14" s="27">
        <v>4.1999999999999997E-3</v>
      </c>
      <c r="I14" s="27">
        <v>4.1999999999999997E-3</v>
      </c>
      <c r="J14" s="27">
        <v>4.4000000000000003E-3</v>
      </c>
      <c r="K14" s="2" t="s">
        <v>8</v>
      </c>
      <c r="L14" s="27">
        <v>4.4000000000000003E-3</v>
      </c>
    </row>
    <row r="15" spans="1:75" x14ac:dyDescent="0.3">
      <c r="A15" s="2" t="s">
        <v>9</v>
      </c>
      <c r="B15" s="27">
        <v>3.7000000000000002E-3</v>
      </c>
      <c r="C15" s="221">
        <f t="shared" ref="C15:C22" si="7">B15-F15</f>
        <v>0</v>
      </c>
      <c r="E15" s="2" t="s">
        <v>9</v>
      </c>
      <c r="F15" s="27">
        <v>3.7000000000000002E-3</v>
      </c>
      <c r="G15" s="27">
        <v>3.8999999999999998E-3</v>
      </c>
      <c r="H15" s="27">
        <v>3.8999999999999998E-3</v>
      </c>
      <c r="I15" s="27">
        <v>3.8999999999999998E-3</v>
      </c>
      <c r="J15" s="27">
        <v>4.1000000000000003E-3</v>
      </c>
      <c r="K15" s="2" t="s">
        <v>9</v>
      </c>
      <c r="L15" s="27">
        <v>4.1000000000000003E-3</v>
      </c>
    </row>
    <row r="16" spans="1:75" x14ac:dyDescent="0.3">
      <c r="A16" s="2" t="s">
        <v>10</v>
      </c>
      <c r="B16" s="27">
        <v>3.3999999999999998E-3</v>
      </c>
      <c r="C16" s="225">
        <f t="shared" si="7"/>
        <v>-1.0000000000000026E-4</v>
      </c>
      <c r="E16" s="2" t="s">
        <v>10</v>
      </c>
      <c r="F16" s="27">
        <v>3.5000000000000001E-3</v>
      </c>
      <c r="G16" s="27">
        <v>3.8E-3</v>
      </c>
      <c r="H16" s="27">
        <v>3.8E-3</v>
      </c>
      <c r="I16" s="27">
        <v>3.8E-3</v>
      </c>
      <c r="J16" s="27">
        <v>4.0000000000000001E-3</v>
      </c>
      <c r="K16" s="2" t="s">
        <v>10</v>
      </c>
      <c r="L16" s="27">
        <v>4.0000000000000001E-3</v>
      </c>
    </row>
    <row r="17" spans="1:13" x14ac:dyDescent="0.3">
      <c r="A17" s="2" t="s">
        <v>11</v>
      </c>
      <c r="B17" s="27">
        <v>3.0999999999999999E-3</v>
      </c>
      <c r="C17" s="225">
        <f t="shared" si="7"/>
        <v>-1.0000000000000026E-4</v>
      </c>
      <c r="D17" t="s">
        <v>388</v>
      </c>
      <c r="E17" s="2" t="s">
        <v>11</v>
      </c>
      <c r="F17" s="27">
        <v>3.2000000000000002E-3</v>
      </c>
      <c r="G17" s="27">
        <v>3.3999999999999998E-3</v>
      </c>
      <c r="H17" s="27">
        <v>3.3999999999999998E-3</v>
      </c>
      <c r="I17" s="27">
        <v>3.3999999999999998E-3</v>
      </c>
      <c r="J17" s="27">
        <v>3.5999999999999999E-3</v>
      </c>
      <c r="K17" s="2" t="s">
        <v>11</v>
      </c>
      <c r="L17" s="27">
        <v>3.5999999999999999E-3</v>
      </c>
    </row>
    <row r="18" spans="1:13" x14ac:dyDescent="0.3">
      <c r="A18" s="2" t="s">
        <v>12</v>
      </c>
      <c r="B18" s="27">
        <v>3.5999999999999999E-3</v>
      </c>
      <c r="C18" s="221">
        <f t="shared" si="7"/>
        <v>0</v>
      </c>
      <c r="E18" s="2" t="s">
        <v>12</v>
      </c>
      <c r="F18" s="27">
        <v>3.5999999999999999E-3</v>
      </c>
      <c r="G18" s="27">
        <v>3.8999999999999998E-3</v>
      </c>
      <c r="H18" s="27">
        <v>3.8999999999999998E-3</v>
      </c>
      <c r="I18" s="27">
        <v>4.0000000000000001E-3</v>
      </c>
      <c r="J18" s="27">
        <v>4.1999999999999997E-3</v>
      </c>
      <c r="K18" s="2" t="s">
        <v>12</v>
      </c>
      <c r="L18" s="27">
        <v>4.1999999999999997E-3</v>
      </c>
    </row>
    <row r="19" spans="1:13" x14ac:dyDescent="0.3">
      <c r="A19" s="2" t="s">
        <v>13</v>
      </c>
      <c r="B19" s="27">
        <v>3.3999999999999998E-3</v>
      </c>
      <c r="C19" s="221">
        <f t="shared" si="7"/>
        <v>0</v>
      </c>
      <c r="E19" s="2" t="s">
        <v>13</v>
      </c>
      <c r="F19" s="27">
        <v>3.3999999999999998E-3</v>
      </c>
      <c r="G19" s="27">
        <v>3.5999999999999999E-3</v>
      </c>
      <c r="H19" s="27">
        <v>3.7000000000000002E-3</v>
      </c>
      <c r="I19" s="27">
        <v>3.7000000000000002E-3</v>
      </c>
      <c r="J19" s="27">
        <v>3.8999999999999998E-3</v>
      </c>
      <c r="K19" s="2" t="s">
        <v>13</v>
      </c>
      <c r="L19" s="27">
        <v>3.8999999999999998E-3</v>
      </c>
    </row>
    <row r="20" spans="1:13" x14ac:dyDescent="0.3">
      <c r="A20" s="2" t="s">
        <v>14</v>
      </c>
      <c r="B20" s="27">
        <v>3.8999999999999998E-3</v>
      </c>
      <c r="C20" s="221">
        <f t="shared" si="7"/>
        <v>0</v>
      </c>
      <c r="E20" s="2" t="s">
        <v>14</v>
      </c>
      <c r="F20" s="27">
        <v>3.8999999999999998E-3</v>
      </c>
      <c r="G20" s="27">
        <v>4.1000000000000003E-3</v>
      </c>
      <c r="H20" s="27">
        <v>4.1000000000000003E-3</v>
      </c>
      <c r="I20" s="27">
        <v>4.1000000000000003E-3</v>
      </c>
      <c r="J20" s="27">
        <v>4.3E-3</v>
      </c>
      <c r="K20" s="2" t="s">
        <v>14</v>
      </c>
      <c r="L20" s="27">
        <v>4.3E-3</v>
      </c>
    </row>
    <row r="21" spans="1:13" x14ac:dyDescent="0.3">
      <c r="A21" s="2" t="s">
        <v>15</v>
      </c>
      <c r="B21" s="27">
        <v>3.3E-3</v>
      </c>
      <c r="C21" s="221">
        <f t="shared" si="7"/>
        <v>0</v>
      </c>
      <c r="E21" s="2" t="s">
        <v>15</v>
      </c>
      <c r="F21" s="27">
        <v>3.3E-3</v>
      </c>
      <c r="G21" s="27">
        <v>3.7000000000000002E-3</v>
      </c>
      <c r="H21" s="27">
        <v>3.7000000000000002E-3</v>
      </c>
      <c r="I21" s="27">
        <v>3.7000000000000002E-3</v>
      </c>
      <c r="J21" s="27">
        <v>3.8999999999999998E-3</v>
      </c>
      <c r="K21" s="2" t="s">
        <v>15</v>
      </c>
      <c r="L21" s="27">
        <v>3.8999999999999998E-3</v>
      </c>
    </row>
    <row r="22" spans="1:13" x14ac:dyDescent="0.3">
      <c r="A22" s="2" t="s">
        <v>16</v>
      </c>
      <c r="B22" s="27">
        <v>3.5999999999999999E-3</v>
      </c>
      <c r="C22" s="221">
        <f t="shared" si="7"/>
        <v>0</v>
      </c>
      <c r="E22" s="2" t="s">
        <v>16</v>
      </c>
      <c r="F22" s="27">
        <v>3.5999999999999999E-3</v>
      </c>
      <c r="G22" s="27">
        <v>3.8E-3</v>
      </c>
      <c r="H22" s="27">
        <v>3.8E-3</v>
      </c>
      <c r="I22" s="27">
        <v>3.8E-3</v>
      </c>
      <c r="J22" s="27">
        <v>4.0000000000000001E-3</v>
      </c>
      <c r="K22" s="2" t="s">
        <v>16</v>
      </c>
      <c r="L22" s="27">
        <v>4.0000000000000001E-3</v>
      </c>
    </row>
    <row r="25" spans="1:13" x14ac:dyDescent="0.3">
      <c r="A25" s="32" t="s">
        <v>488</v>
      </c>
      <c r="B25" s="29"/>
      <c r="C25" s="29"/>
      <c r="D25" s="29"/>
      <c r="E25" s="29"/>
      <c r="F25" s="29"/>
      <c r="G25" s="29"/>
      <c r="H25" s="29"/>
      <c r="I25" s="29"/>
    </row>
    <row r="26" spans="1:13" x14ac:dyDescent="0.3">
      <c r="B26" s="39" t="s">
        <v>18</v>
      </c>
      <c r="C26" s="39" t="s">
        <v>198</v>
      </c>
      <c r="D26" s="39" t="s">
        <v>19</v>
      </c>
      <c r="E26" s="39" t="s">
        <v>20</v>
      </c>
    </row>
    <row r="27" spans="1:13" x14ac:dyDescent="0.3">
      <c r="A27" t="s">
        <v>17</v>
      </c>
      <c r="B27" s="163">
        <v>2</v>
      </c>
      <c r="C27">
        <v>4.3499999999999996</v>
      </c>
      <c r="D27" s="163">
        <f>B27*C27</f>
        <v>8.6999999999999993</v>
      </c>
      <c r="E27" s="163">
        <f>D27*12</f>
        <v>104.39999999999999</v>
      </c>
      <c r="G27" t="s">
        <v>367</v>
      </c>
    </row>
    <row r="29" spans="1:13" x14ac:dyDescent="0.3">
      <c r="A29" t="s">
        <v>350</v>
      </c>
      <c r="B29" s="205" t="s">
        <v>409</v>
      </c>
      <c r="G29" s="205" t="s">
        <v>487</v>
      </c>
    </row>
    <row r="30" spans="1:13" x14ac:dyDescent="0.3">
      <c r="B30" s="205"/>
    </row>
    <row r="31" spans="1:13" x14ac:dyDescent="0.3">
      <c r="A31" s="32" t="s">
        <v>200</v>
      </c>
      <c r="B31" s="29"/>
      <c r="C31" s="29"/>
      <c r="D31" s="29"/>
      <c r="E31" s="29"/>
      <c r="F31" s="29"/>
      <c r="G31" s="29"/>
      <c r="H31" s="29"/>
      <c r="I31" s="29"/>
      <c r="L31" t="s">
        <v>199</v>
      </c>
      <c r="M31" t="s">
        <v>201</v>
      </c>
    </row>
    <row r="32" spans="1:13" x14ac:dyDescent="0.3">
      <c r="A32" s="39" t="s">
        <v>146</v>
      </c>
      <c r="B32" s="39" t="s">
        <v>63</v>
      </c>
      <c r="C32" s="39" t="s">
        <v>265</v>
      </c>
      <c r="D32" s="39" t="s">
        <v>266</v>
      </c>
      <c r="E32" s="39" t="s">
        <v>267</v>
      </c>
      <c r="H32" s="39" t="s">
        <v>362</v>
      </c>
      <c r="M32" t="s">
        <v>202</v>
      </c>
    </row>
    <row r="33" spans="1:13" x14ac:dyDescent="0.3">
      <c r="A33">
        <v>200</v>
      </c>
      <c r="B33">
        <v>150</v>
      </c>
      <c r="C33" s="4">
        <v>10800</v>
      </c>
      <c r="D33" s="4">
        <f>C33/B33</f>
        <v>72</v>
      </c>
      <c r="E33" s="4">
        <f>C33/A33</f>
        <v>54</v>
      </c>
      <c r="F33" t="s">
        <v>268</v>
      </c>
      <c r="H33" s="1">
        <v>2025</v>
      </c>
      <c r="I33" s="31">
        <v>4.3099999999999999E-2</v>
      </c>
    </row>
    <row r="34" spans="1:13" x14ac:dyDescent="0.3">
      <c r="A34">
        <v>200</v>
      </c>
      <c r="B34">
        <v>150</v>
      </c>
      <c r="C34" s="10">
        <f>B34*D34</f>
        <v>10291.147199999999</v>
      </c>
      <c r="D34" s="4">
        <f>64.8*1.038*1.02</f>
        <v>68.607647999999998</v>
      </c>
      <c r="E34" s="10">
        <f>C34/A34</f>
        <v>51.455735999999995</v>
      </c>
      <c r="F34" t="s">
        <v>268</v>
      </c>
      <c r="H34" s="1">
        <v>2024</v>
      </c>
      <c r="I34" s="31">
        <v>9.7199999999999995E-2</v>
      </c>
      <c r="L34" t="s">
        <v>125</v>
      </c>
    </row>
    <row r="35" spans="1:13" x14ac:dyDescent="0.3">
      <c r="A35">
        <v>200</v>
      </c>
      <c r="B35">
        <v>100</v>
      </c>
      <c r="C35" s="10">
        <v>10200</v>
      </c>
      <c r="D35" s="4">
        <f>C35/B35</f>
        <v>102</v>
      </c>
      <c r="E35" s="4">
        <f>C35/A35</f>
        <v>51</v>
      </c>
      <c r="F35" t="s">
        <v>269</v>
      </c>
      <c r="H35" s="1">
        <v>2023</v>
      </c>
      <c r="I35" s="31">
        <v>9.69E-2</v>
      </c>
    </row>
    <row r="36" spans="1:13" x14ac:dyDescent="0.3">
      <c r="A36">
        <v>200</v>
      </c>
      <c r="B36">
        <v>100</v>
      </c>
      <c r="C36" s="10">
        <v>12000</v>
      </c>
      <c r="D36" s="4">
        <f>C36/B36</f>
        <v>120</v>
      </c>
      <c r="E36" s="4">
        <f>C36/A36</f>
        <v>60</v>
      </c>
      <c r="F36" t="s">
        <v>269</v>
      </c>
      <c r="L36">
        <v>2022</v>
      </c>
      <c r="M36" s="31">
        <v>3.7999999999999999E-2</v>
      </c>
    </row>
    <row r="37" spans="1:13" x14ac:dyDescent="0.3">
      <c r="C37" s="10"/>
      <c r="D37" s="4"/>
      <c r="E37" s="4"/>
      <c r="L37">
        <v>2021</v>
      </c>
      <c r="M37" s="31">
        <v>2.2499999999999999E-2</v>
      </c>
    </row>
    <row r="38" spans="1:13" x14ac:dyDescent="0.3">
      <c r="C38" s="10"/>
      <c r="D38" s="4" t="s">
        <v>270</v>
      </c>
      <c r="E38" s="4">
        <f>AVERAGE(E33:E34)*(1+M41)*(1+M40)*(1+M39)*(1+M37)*(1+M42)*(1+I35)*(1+I34)*(1+M38)*(1+I33)*(1+M36)</f>
        <v>79.953554642457448</v>
      </c>
      <c r="G38" t="s">
        <v>489</v>
      </c>
      <c r="I38" s="28"/>
      <c r="L38">
        <v>2020</v>
      </c>
      <c r="M38" s="31">
        <v>2.8199999999999999E-2</v>
      </c>
    </row>
    <row r="39" spans="1:13" x14ac:dyDescent="0.3">
      <c r="C39" s="10"/>
      <c r="D39" s="4" t="s">
        <v>271</v>
      </c>
      <c r="E39" s="4">
        <f>AVERAGE(E35:E36)*(1+M41)*(1+M40)*(1+M39)*(1+M37)*(1+M42)*(1+I35)*(1+I34)*(1+M38)*(1+I33)*(1+M36)</f>
        <v>84.15705870482735</v>
      </c>
      <c r="G39" s="182" t="s">
        <v>287</v>
      </c>
      <c r="H39" t="s">
        <v>306</v>
      </c>
      <c r="L39">
        <v>2019</v>
      </c>
      <c r="M39" s="31">
        <v>4.1500000000000002E-2</v>
      </c>
    </row>
    <row r="40" spans="1:13" x14ac:dyDescent="0.3">
      <c r="D40" t="s">
        <v>272</v>
      </c>
      <c r="E40" s="10">
        <f>SUM(E38:E39)</f>
        <v>164.11061334728481</v>
      </c>
      <c r="G40" s="10">
        <f>E40*Unternehmensdaten!B11</f>
        <v>0</v>
      </c>
      <c r="H40" s="12" t="e">
        <f>G40/Unternehmensdaten!B32</f>
        <v>#DIV/0!</v>
      </c>
      <c r="L40">
        <v>2018</v>
      </c>
      <c r="M40" s="31">
        <v>2.8000000000000001E-2</v>
      </c>
    </row>
    <row r="41" spans="1:13" x14ac:dyDescent="0.3">
      <c r="L41">
        <v>2017</v>
      </c>
      <c r="M41" s="31">
        <v>1.6E-2</v>
      </c>
    </row>
    <row r="42" spans="1:13" x14ac:dyDescent="0.3">
      <c r="A42" s="32" t="s">
        <v>410</v>
      </c>
      <c r="B42" s="29"/>
      <c r="C42" s="29"/>
      <c r="D42" s="29"/>
      <c r="E42" s="29"/>
      <c r="F42" s="29"/>
      <c r="G42" s="29"/>
      <c r="H42" s="29"/>
      <c r="I42" s="29"/>
      <c r="L42">
        <v>2016</v>
      </c>
      <c r="M42" s="31">
        <v>1.7500000000000002E-2</v>
      </c>
    </row>
    <row r="43" spans="1:13" x14ac:dyDescent="0.3">
      <c r="A43" t="s">
        <v>384</v>
      </c>
      <c r="B43" s="163">
        <v>131</v>
      </c>
      <c r="C43" t="s">
        <v>169</v>
      </c>
      <c r="E43" t="s">
        <v>389</v>
      </c>
      <c r="F43" s="163">
        <v>128</v>
      </c>
      <c r="G43" s="12">
        <f>F43/F44-1</f>
        <v>3.2258064516129004E-2</v>
      </c>
      <c r="H43" t="s">
        <v>378</v>
      </c>
    </row>
    <row r="44" spans="1:13" x14ac:dyDescent="0.3">
      <c r="B44" s="12">
        <f>B43/F43-1</f>
        <v>2.34375E-2</v>
      </c>
      <c r="C44" t="s">
        <v>390</v>
      </c>
      <c r="E44" t="s">
        <v>377</v>
      </c>
      <c r="F44" s="163">
        <v>124</v>
      </c>
      <c r="G44" s="12">
        <f>F44/F45-1</f>
        <v>2.4793388429751984E-2</v>
      </c>
      <c r="H44" t="s">
        <v>370</v>
      </c>
    </row>
    <row r="45" spans="1:13" x14ac:dyDescent="0.3">
      <c r="E45" t="s">
        <v>369</v>
      </c>
      <c r="F45" s="163">
        <v>121</v>
      </c>
      <c r="G45" s="12">
        <f>F45/F46-1</f>
        <v>2.5423728813559254E-2</v>
      </c>
      <c r="H45" t="s">
        <v>355</v>
      </c>
    </row>
    <row r="46" spans="1:13" x14ac:dyDescent="0.3">
      <c r="B46" s="12"/>
      <c r="E46" t="s">
        <v>351</v>
      </c>
      <c r="F46" s="163">
        <v>118</v>
      </c>
      <c r="G46" s="12">
        <f>F46/F47-1</f>
        <v>2.6086956521739202E-2</v>
      </c>
      <c r="H46" t="s">
        <v>354</v>
      </c>
      <c r="L46" t="s">
        <v>124</v>
      </c>
    </row>
    <row r="47" spans="1:13" x14ac:dyDescent="0.3">
      <c r="E47" t="s">
        <v>352</v>
      </c>
      <c r="F47" s="163">
        <v>115</v>
      </c>
      <c r="L47" t="s">
        <v>203</v>
      </c>
    </row>
    <row r="48" spans="1:13" x14ac:dyDescent="0.3">
      <c r="A48" t="s">
        <v>353</v>
      </c>
      <c r="B48" s="205" t="s">
        <v>434</v>
      </c>
    </row>
    <row r="49" spans="1:9" x14ac:dyDescent="0.3">
      <c r="A49" s="32" t="s">
        <v>79</v>
      </c>
      <c r="B49" s="29"/>
      <c r="C49" s="29"/>
      <c r="D49" s="29"/>
      <c r="E49" s="29"/>
      <c r="F49" s="29"/>
      <c r="G49" s="29"/>
      <c r="H49" s="29"/>
      <c r="I49" s="29"/>
    </row>
    <row r="50" spans="1:9" x14ac:dyDescent="0.3">
      <c r="A50" t="s">
        <v>129</v>
      </c>
      <c r="B50" s="31">
        <v>1.5299999999999999E-2</v>
      </c>
    </row>
    <row r="51" spans="1:9" x14ac:dyDescent="0.3">
      <c r="A51" t="s">
        <v>193</v>
      </c>
      <c r="B51" s="31">
        <f>'Übersicht LZ_NLZ'!F61</f>
        <v>2.2257651396078937E-2</v>
      </c>
      <c r="C51" t="s">
        <v>195</v>
      </c>
    </row>
    <row r="52" spans="1:9" x14ac:dyDescent="0.3">
      <c r="A52" t="s">
        <v>194</v>
      </c>
      <c r="B52" s="31">
        <f>'Übersicht LZ_NLZ'!H61</f>
        <v>2.2802570750460618E-2</v>
      </c>
      <c r="C52" t="s">
        <v>195</v>
      </c>
    </row>
    <row r="55" spans="1:9" x14ac:dyDescent="0.3">
      <c r="A55" s="1" t="s">
        <v>253</v>
      </c>
    </row>
    <row r="57" spans="1:9" x14ac:dyDescent="0.3">
      <c r="A57" s="39" t="s">
        <v>254</v>
      </c>
      <c r="B57" s="39" t="s">
        <v>255</v>
      </c>
      <c r="C57" s="39" t="s">
        <v>260</v>
      </c>
      <c r="D57" s="39" t="s">
        <v>256</v>
      </c>
      <c r="E57" s="39" t="s">
        <v>257</v>
      </c>
      <c r="F57" s="39" t="s">
        <v>258</v>
      </c>
    </row>
    <row r="58" spans="1:9" x14ac:dyDescent="0.3">
      <c r="A58">
        <v>3</v>
      </c>
      <c r="B58">
        <f t="shared" ref="B58:B63" si="8">A58*12</f>
        <v>36</v>
      </c>
      <c r="C58">
        <v>2</v>
      </c>
      <c r="D58" s="12">
        <f t="shared" ref="D58:D63" si="9">C58/B58</f>
        <v>5.5555555555555552E-2</v>
      </c>
      <c r="E58" s="23">
        <v>0</v>
      </c>
      <c r="F58" s="31">
        <f t="shared" ref="F58:F63" si="10">D58*E58</f>
        <v>0</v>
      </c>
    </row>
    <row r="59" spans="1:9" x14ac:dyDescent="0.3">
      <c r="A59">
        <v>5</v>
      </c>
      <c r="B59">
        <f t="shared" si="8"/>
        <v>60</v>
      </c>
      <c r="C59">
        <v>3</v>
      </c>
      <c r="D59" s="12">
        <f t="shared" si="9"/>
        <v>0.05</v>
      </c>
      <c r="E59" s="23">
        <v>0</v>
      </c>
      <c r="F59" s="31">
        <f t="shared" si="10"/>
        <v>0</v>
      </c>
    </row>
    <row r="60" spans="1:9" x14ac:dyDescent="0.3">
      <c r="A60" s="177">
        <v>10</v>
      </c>
      <c r="B60" s="177">
        <f t="shared" si="8"/>
        <v>120</v>
      </c>
      <c r="C60" s="177">
        <v>4</v>
      </c>
      <c r="D60" s="178">
        <f t="shared" si="9"/>
        <v>3.3333333333333333E-2</v>
      </c>
      <c r="E60" s="23">
        <v>0</v>
      </c>
      <c r="F60" s="31">
        <f t="shared" si="10"/>
        <v>0</v>
      </c>
    </row>
    <row r="61" spans="1:9" x14ac:dyDescent="0.3">
      <c r="A61">
        <v>15</v>
      </c>
      <c r="B61">
        <f t="shared" si="8"/>
        <v>180</v>
      </c>
      <c r="C61">
        <v>6</v>
      </c>
      <c r="D61" s="12">
        <f t="shared" si="9"/>
        <v>3.3333333333333333E-2</v>
      </c>
      <c r="E61" s="23">
        <v>0</v>
      </c>
      <c r="F61" s="31">
        <f t="shared" si="10"/>
        <v>0</v>
      </c>
    </row>
    <row r="62" spans="1:9" x14ac:dyDescent="0.3">
      <c r="A62">
        <v>20</v>
      </c>
      <c r="B62">
        <f t="shared" si="8"/>
        <v>240</v>
      </c>
      <c r="C62">
        <v>9</v>
      </c>
      <c r="D62" s="12">
        <f t="shared" si="9"/>
        <v>3.7499999999999999E-2</v>
      </c>
      <c r="E62" s="23">
        <v>0</v>
      </c>
      <c r="F62" s="31">
        <f t="shared" si="10"/>
        <v>0</v>
      </c>
    </row>
    <row r="63" spans="1:9" x14ac:dyDescent="0.3">
      <c r="A63">
        <v>25</v>
      </c>
      <c r="B63">
        <f t="shared" si="8"/>
        <v>300</v>
      </c>
      <c r="C63">
        <v>12</v>
      </c>
      <c r="D63" s="12">
        <f t="shared" si="9"/>
        <v>0.04</v>
      </c>
      <c r="E63" s="23">
        <v>0.95</v>
      </c>
      <c r="F63" s="31">
        <f t="shared" si="10"/>
        <v>3.7999999999999999E-2</v>
      </c>
    </row>
    <row r="64" spans="1:9" x14ac:dyDescent="0.3">
      <c r="D64" t="s">
        <v>259</v>
      </c>
      <c r="E64" s="23">
        <v>0.05</v>
      </c>
      <c r="F64" s="31"/>
    </row>
    <row r="65" spans="1:9" x14ac:dyDescent="0.3">
      <c r="E65" s="174">
        <f>SUM(E58:E64)</f>
        <v>1</v>
      </c>
      <c r="F65" s="179">
        <f>SUM(F58:F64)</f>
        <v>3.7999999999999999E-2</v>
      </c>
    </row>
    <row r="66" spans="1:9" x14ac:dyDescent="0.3">
      <c r="A66" t="s">
        <v>147</v>
      </c>
      <c r="B66" s="205" t="s">
        <v>435</v>
      </c>
    </row>
    <row r="67" spans="1:9" x14ac:dyDescent="0.3">
      <c r="B67" s="205" t="s">
        <v>445</v>
      </c>
    </row>
    <row r="69" spans="1:9" x14ac:dyDescent="0.3">
      <c r="A69" s="32" t="s">
        <v>415</v>
      </c>
      <c r="B69" s="29"/>
      <c r="C69" s="29"/>
      <c r="D69" s="29"/>
      <c r="E69" s="29"/>
      <c r="F69" s="29"/>
      <c r="G69" s="29"/>
      <c r="H69" s="29"/>
      <c r="I69" s="29"/>
    </row>
    <row r="70" spans="1:9" x14ac:dyDescent="0.3">
      <c r="A70" t="s">
        <v>292</v>
      </c>
      <c r="B70" s="31">
        <v>3.5000000000000001E-3</v>
      </c>
      <c r="C70" s="206">
        <v>43831</v>
      </c>
      <c r="D70" t="s">
        <v>411</v>
      </c>
      <c r="E70" s="31">
        <v>3.5000000000000001E-3</v>
      </c>
      <c r="F70" s="206">
        <v>42370</v>
      </c>
    </row>
    <row r="71" spans="1:9" x14ac:dyDescent="0.3">
      <c r="D71" t="s">
        <v>351</v>
      </c>
      <c r="E71" s="31">
        <v>4.4999999999999997E-3</v>
      </c>
      <c r="F71" s="206">
        <v>42005</v>
      </c>
    </row>
    <row r="72" spans="1:9" x14ac:dyDescent="0.3">
      <c r="D72" t="s">
        <v>352</v>
      </c>
      <c r="E72" s="31">
        <v>5.0000000000000001E-3</v>
      </c>
    </row>
    <row r="74" spans="1:9" x14ac:dyDescent="0.3">
      <c r="A74" t="s">
        <v>147</v>
      </c>
      <c r="B74" s="205" t="s">
        <v>412</v>
      </c>
      <c r="G74" t="s">
        <v>414</v>
      </c>
    </row>
    <row r="75" spans="1:9" x14ac:dyDescent="0.3">
      <c r="B75" s="205" t="s">
        <v>413</v>
      </c>
      <c r="G75" t="s">
        <v>356</v>
      </c>
    </row>
    <row r="77" spans="1:9" x14ac:dyDescent="0.3">
      <c r="A77" s="32" t="s">
        <v>357</v>
      </c>
      <c r="B77" s="29"/>
      <c r="C77" s="29"/>
      <c r="D77" s="29"/>
      <c r="E77" s="29"/>
      <c r="F77" s="29"/>
      <c r="G77" s="29"/>
      <c r="H77" s="29"/>
      <c r="I77" s="29"/>
    </row>
    <row r="78" spans="1:9" x14ac:dyDescent="0.3">
      <c r="A78" s="1" t="s">
        <v>358</v>
      </c>
      <c r="B78" t="s">
        <v>490</v>
      </c>
      <c r="C78" t="s">
        <v>463</v>
      </c>
      <c r="D78" t="s">
        <v>442</v>
      </c>
      <c r="E78" t="s">
        <v>429</v>
      </c>
      <c r="F78" t="s">
        <v>391</v>
      </c>
      <c r="G78" t="s">
        <v>380</v>
      </c>
      <c r="H78" s="207" t="s">
        <v>379</v>
      </c>
      <c r="I78" s="207" t="s">
        <v>441</v>
      </c>
    </row>
    <row r="79" spans="1:9" x14ac:dyDescent="0.3">
      <c r="A79" t="s">
        <v>38</v>
      </c>
      <c r="B79" s="12">
        <v>0.1255</v>
      </c>
      <c r="C79" s="12">
        <v>0.1255</v>
      </c>
      <c r="D79" s="12">
        <v>0.1255</v>
      </c>
      <c r="E79" s="12">
        <v>0.1255</v>
      </c>
      <c r="F79" s="12">
        <v>0.1255</v>
      </c>
      <c r="G79" s="12">
        <v>0.1255</v>
      </c>
      <c r="H79" s="12">
        <v>0.1255</v>
      </c>
      <c r="I79" s="12">
        <v>0.1255</v>
      </c>
    </row>
    <row r="80" spans="1:9" x14ac:dyDescent="0.3">
      <c r="A80" t="s">
        <v>39</v>
      </c>
      <c r="B80" s="12">
        <v>1.0999999999999999E-2</v>
      </c>
      <c r="C80" s="208">
        <v>1.0999999999999999E-2</v>
      </c>
      <c r="D80" s="208">
        <v>1.2E-2</v>
      </c>
      <c r="E80" s="12">
        <v>1.2E-2</v>
      </c>
      <c r="F80" s="208">
        <v>1.2E-2</v>
      </c>
      <c r="G80" s="208">
        <v>1.2999999999999999E-2</v>
      </c>
      <c r="H80" s="12">
        <v>1.2999999999999999E-2</v>
      </c>
      <c r="I80" s="12">
        <v>1.2999999999999999E-2</v>
      </c>
    </row>
    <row r="81" spans="1:9" x14ac:dyDescent="0.3">
      <c r="A81" t="s">
        <v>40</v>
      </c>
      <c r="B81" s="12">
        <v>3.78E-2</v>
      </c>
      <c r="C81" s="12">
        <v>3.78E-2</v>
      </c>
      <c r="D81" s="12">
        <v>3.78E-2</v>
      </c>
      <c r="E81" s="12">
        <v>3.78E-2</v>
      </c>
      <c r="F81" s="12">
        <v>3.78E-2</v>
      </c>
      <c r="G81" s="12">
        <v>3.78E-2</v>
      </c>
      <c r="H81" s="12">
        <v>3.78E-2</v>
      </c>
      <c r="I81" s="12">
        <v>3.6999999999999998E-2</v>
      </c>
    </row>
    <row r="82" spans="1:9" x14ac:dyDescent="0.3">
      <c r="A82" t="s">
        <v>359</v>
      </c>
      <c r="B82" s="208">
        <v>2.9499999999999998E-2</v>
      </c>
      <c r="C82" s="208">
        <v>0.03</v>
      </c>
      <c r="D82" s="12">
        <v>0.03</v>
      </c>
      <c r="E82" s="12">
        <v>0.03</v>
      </c>
      <c r="F82" s="12">
        <v>0.03</v>
      </c>
      <c r="G82" s="12">
        <v>0.03</v>
      </c>
      <c r="H82" s="12">
        <v>0.03</v>
      </c>
      <c r="I82" s="12">
        <f>3%+0.45%</f>
        <v>3.4500000000000003E-2</v>
      </c>
    </row>
    <row r="83" spans="1:9" x14ac:dyDescent="0.3">
      <c r="A83" t="s">
        <v>292</v>
      </c>
      <c r="B83" s="12">
        <v>1E-3</v>
      </c>
      <c r="C83" s="12">
        <v>1E-3</v>
      </c>
      <c r="D83" s="208">
        <v>1E-3</v>
      </c>
      <c r="E83" s="208">
        <v>2E-3</v>
      </c>
      <c r="F83" s="208">
        <v>3.5000000000000001E-3</v>
      </c>
      <c r="G83" s="12">
        <v>3.5000000000000001E-3</v>
      </c>
      <c r="H83" s="12">
        <v>3.5000000000000001E-3</v>
      </c>
      <c r="I83" s="12">
        <v>5.0000000000000001E-3</v>
      </c>
    </row>
    <row r="84" spans="1:9" x14ac:dyDescent="0.3">
      <c r="A84" t="s">
        <v>115</v>
      </c>
      <c r="B84" s="12">
        <v>5.0000000000000001E-3</v>
      </c>
      <c r="C84" s="12">
        <v>5.0000000000000001E-3</v>
      </c>
      <c r="D84" s="12">
        <v>5.0000000000000001E-3</v>
      </c>
      <c r="E84" s="12">
        <v>5.0000000000000001E-3</v>
      </c>
      <c r="F84" s="12">
        <v>5.0000000000000001E-3</v>
      </c>
      <c r="G84" s="12">
        <v>5.0000000000000001E-3</v>
      </c>
      <c r="H84" s="12">
        <v>5.0000000000000001E-3</v>
      </c>
      <c r="I84" s="18">
        <v>5.0000000000000001E-3</v>
      </c>
    </row>
    <row r="85" spans="1:9" x14ac:dyDescent="0.3">
      <c r="B85" s="224">
        <f t="shared" ref="B85:C85" si="11">SUM(B79:B84)</f>
        <v>0.20980000000000001</v>
      </c>
      <c r="C85" s="224">
        <f t="shared" si="11"/>
        <v>0.21030000000000001</v>
      </c>
      <c r="D85" s="224">
        <f t="shared" ref="D85" si="12">SUM(D79:D84)</f>
        <v>0.21130000000000002</v>
      </c>
      <c r="E85" s="224">
        <f t="shared" ref="E85" si="13">SUM(E79:E84)</f>
        <v>0.21230000000000002</v>
      </c>
      <c r="F85" s="224">
        <f t="shared" ref="F85" si="14">SUM(F79:F84)</f>
        <v>0.21380000000000002</v>
      </c>
      <c r="G85" s="224">
        <f t="shared" ref="G85" si="15">SUM(G79:G84)</f>
        <v>0.21480000000000002</v>
      </c>
      <c r="H85" s="224">
        <f t="shared" ref="H85" si="16">SUM(H79:H84)</f>
        <v>0.21480000000000002</v>
      </c>
      <c r="I85" s="224">
        <f t="shared" ref="I85" si="17">SUM(I79:I84)</f>
        <v>0.22000000000000003</v>
      </c>
    </row>
    <row r="86" spans="1:9" x14ac:dyDescent="0.3">
      <c r="B86" s="17"/>
      <c r="C86" s="17"/>
      <c r="D86" s="17"/>
      <c r="E86" s="17"/>
      <c r="F86" s="17"/>
      <c r="G86" s="17"/>
      <c r="H86" s="17"/>
      <c r="I86" s="17"/>
    </row>
    <row r="87" spans="1:9" x14ac:dyDescent="0.3">
      <c r="A87" s="220" t="s">
        <v>360</v>
      </c>
      <c r="B87" s="12">
        <f>3.9%-0.2%</f>
        <v>3.6999999999999998E-2</v>
      </c>
      <c r="C87" s="208">
        <f>3.9%-0.2%</f>
        <v>3.6999999999999998E-2</v>
      </c>
      <c r="D87" s="208">
        <v>3.9E-2</v>
      </c>
      <c r="E87" s="12">
        <v>3.9E-2</v>
      </c>
      <c r="F87" s="12">
        <v>3.9E-2</v>
      </c>
      <c r="G87" s="38">
        <v>3.9E-2</v>
      </c>
      <c r="H87" s="38">
        <v>4.1000000000000002E-2</v>
      </c>
      <c r="I87" s="12">
        <f>4.5%</f>
        <v>4.4999999999999998E-2</v>
      </c>
    </row>
    <row r="88" spans="1:9" x14ac:dyDescent="0.3">
      <c r="A88" t="s">
        <v>81</v>
      </c>
      <c r="B88" s="12"/>
      <c r="C88" s="12"/>
      <c r="D88" s="12"/>
      <c r="E88" s="12"/>
      <c r="F88" s="12"/>
      <c r="G88" s="12"/>
      <c r="H88" s="12"/>
      <c r="I88" s="38"/>
    </row>
    <row r="89" spans="1:9" x14ac:dyDescent="0.3">
      <c r="A89" t="s">
        <v>44</v>
      </c>
      <c r="B89" s="12">
        <v>0.03</v>
      </c>
      <c r="C89" s="12">
        <v>0.03</v>
      </c>
      <c r="D89" s="12">
        <v>0.03</v>
      </c>
      <c r="E89" s="12">
        <v>0.03</v>
      </c>
      <c r="F89" s="12">
        <v>0.03</v>
      </c>
      <c r="G89" s="12">
        <v>0.03</v>
      </c>
      <c r="H89" s="12">
        <v>0.03</v>
      </c>
      <c r="I89" s="12">
        <v>0.03</v>
      </c>
    </row>
    <row r="90" spans="1:9" x14ac:dyDescent="0.3">
      <c r="B90" s="12"/>
    </row>
    <row r="91" spans="1:9" x14ac:dyDescent="0.3">
      <c r="A91" t="s">
        <v>361</v>
      </c>
      <c r="B91" s="226" t="s">
        <v>469</v>
      </c>
    </row>
    <row r="92" spans="1:9" x14ac:dyDescent="0.3">
      <c r="A92" t="s">
        <v>368</v>
      </c>
    </row>
    <row r="93" spans="1:9" x14ac:dyDescent="0.3">
      <c r="B93" s="205" t="s">
        <v>381</v>
      </c>
    </row>
    <row r="94" spans="1:9" x14ac:dyDescent="0.3">
      <c r="B94" s="205" t="s">
        <v>428</v>
      </c>
    </row>
    <row r="95" spans="1:9" x14ac:dyDescent="0.3">
      <c r="B95" s="205" t="s">
        <v>468</v>
      </c>
    </row>
    <row r="96" spans="1:9" x14ac:dyDescent="0.3">
      <c r="B96" s="205" t="s">
        <v>443</v>
      </c>
    </row>
    <row r="97" spans="1:13" s="205" customFormat="1" x14ac:dyDescent="0.3">
      <c r="B97" s="205" t="s">
        <v>465</v>
      </c>
      <c r="E97" s="222" t="s">
        <v>464</v>
      </c>
      <c r="F97" s="222"/>
      <c r="G97" s="222"/>
      <c r="H97" s="222"/>
      <c r="I97" s="222"/>
      <c r="J97" s="222"/>
      <c r="K97" s="222"/>
      <c r="L97" s="223"/>
      <c r="M97" s="223"/>
    </row>
    <row r="99" spans="1:13" x14ac:dyDescent="0.3">
      <c r="A99" s="32" t="s">
        <v>453</v>
      </c>
      <c r="B99" s="29"/>
      <c r="C99" s="29"/>
      <c r="D99" s="29"/>
      <c r="E99" s="29"/>
      <c r="F99" s="29"/>
      <c r="G99" s="29"/>
      <c r="H99" s="29"/>
      <c r="I99" s="29"/>
    </row>
    <row r="100" spans="1:13" x14ac:dyDescent="0.3">
      <c r="A100" t="s">
        <v>436</v>
      </c>
      <c r="B100" s="31">
        <v>2E-3</v>
      </c>
      <c r="C100" t="s">
        <v>437</v>
      </c>
      <c r="D100" t="s">
        <v>438</v>
      </c>
      <c r="E100" t="s">
        <v>447</v>
      </c>
      <c r="F100" t="s">
        <v>448</v>
      </c>
    </row>
    <row r="101" spans="1:13" x14ac:dyDescent="0.3">
      <c r="F101" t="s">
        <v>449</v>
      </c>
    </row>
    <row r="102" spans="1:13" x14ac:dyDescent="0.3">
      <c r="A102" t="s">
        <v>439</v>
      </c>
    </row>
    <row r="104" spans="1:13" x14ac:dyDescent="0.3">
      <c r="A104" t="s">
        <v>440</v>
      </c>
      <c r="B104" s="205" t="s">
        <v>446</v>
      </c>
    </row>
    <row r="105" spans="1:13" x14ac:dyDescent="0.3">
      <c r="B105" s="205" t="s">
        <v>444</v>
      </c>
    </row>
  </sheetData>
  <sheetProtection algorithmName="SHA-512" hashValue="ETL1CYBsmlts873ZsXx3EHzlSMJjTmSiIEYsrVDYkzEADM1bEoCyp/riaA7kn706TsOdltVpWDsrojaVoWDDkw==" saltValue="VldisaIJOsKrQlK20KLT9A==" spinCount="100000" sheet="1" objects="1" scenarios="1"/>
  <sortState xmlns:xlrd2="http://schemas.microsoft.com/office/spreadsheetml/2017/richdata2" ref="Q14:Y22">
    <sortCondition ref="Q14:Q22"/>
  </sortState>
  <phoneticPr fontId="20" type="noConversion"/>
  <hyperlinks>
    <hyperlink ref="B66" r:id="rId1" xr:uid="{00000000-0004-0000-0300-000004000000}"/>
    <hyperlink ref="B11" r:id="rId2" xr:uid="{78EB74AC-0FD8-4D0B-8AE8-F3C9BCB3180B}"/>
    <hyperlink ref="B74" r:id="rId3" xr:uid="{D7642C92-F8B5-413D-BD9A-31113E2E8F2A}"/>
    <hyperlink ref="B75" r:id="rId4" xr:uid="{B33C80B4-6D29-4440-8011-A6D5B2475F90}"/>
    <hyperlink ref="B94" r:id="rId5" xr:uid="{54908BD0-56A0-416B-B038-9BB7EDFC69AE}"/>
    <hyperlink ref="B105" r:id="rId6" xr:uid="{ECF730F7-2576-46BE-9A2F-C583E25C6DB7}"/>
    <hyperlink ref="B91" r:id="rId7" display="https://www.sozialversicherung.at/cdscontent/?contentid=10007.862683&amp;portal=svportal und" xr:uid="{B0C515A0-2C38-43B9-8059-92E0005B5A62}"/>
    <hyperlink ref="G29" r:id="rId8" display="https://www.wko.at/lohnverrechnung/dienstgeberabgabe-wien-dga-u-bahn-steuer" xr:uid="{6D5A67D5-184D-4C48-926C-893A37F54592}"/>
    <hyperlink ref="B104" r:id="rId9" location="heading_19 " xr:uid="{54E4088D-C5ED-45B2-83A7-29775E7B2A38}"/>
    <hyperlink ref="B2" r:id="rId10" display="https://www.weka.at/personalverrechnung/News/Ausgleichstaxe-2023" xr:uid="{E7844DF5-8C06-45A0-BEC8-DD1CF7250DF5}"/>
  </hyperlinks>
  <pageMargins left="0.7" right="0.7" top="0.78740157499999996" bottom="0.78740157499999996" header="0.3" footer="0.3"/>
  <pageSetup paperSize="9" scale="45" orientation="portrait" r:id="rId11"/>
  <legacy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H23"/>
  <sheetViews>
    <sheetView zoomScaleNormal="100" workbookViewId="0">
      <selection activeCell="J27" sqref="J27"/>
    </sheetView>
  </sheetViews>
  <sheetFormatPr baseColWidth="10" defaultRowHeight="14.4" x14ac:dyDescent="0.3"/>
  <cols>
    <col min="1" max="1" width="10.5546875" bestFit="1" customWidth="1"/>
    <col min="2" max="2" width="25.88671875" bestFit="1" customWidth="1"/>
    <col min="3" max="3" width="21.6640625" bestFit="1" customWidth="1"/>
    <col min="4" max="4" width="2.44140625" customWidth="1"/>
    <col min="5" max="5" width="14.5546875" customWidth="1"/>
    <col min="6" max="6" width="15.88671875" bestFit="1" customWidth="1"/>
    <col min="7" max="7" width="5.88671875" customWidth="1"/>
    <col min="8" max="8" width="41" bestFit="1" customWidth="1"/>
  </cols>
  <sheetData>
    <row r="1" spans="1:8" x14ac:dyDescent="0.3">
      <c r="A1" s="1" t="s">
        <v>54</v>
      </c>
      <c r="B1" s="1" t="s">
        <v>55</v>
      </c>
      <c r="C1" s="1" t="s">
        <v>473</v>
      </c>
      <c r="E1" s="39">
        <v>2024</v>
      </c>
      <c r="F1" s="1" t="s">
        <v>452</v>
      </c>
    </row>
    <row r="2" spans="1:8" x14ac:dyDescent="0.3">
      <c r="A2">
        <v>1</v>
      </c>
      <c r="B2" t="s">
        <v>56</v>
      </c>
      <c r="C2" s="163">
        <v>14.47</v>
      </c>
      <c r="D2" s="12"/>
      <c r="E2" s="163">
        <v>13.93</v>
      </c>
      <c r="F2" s="12">
        <f>C2/E2-1</f>
        <v>3.876525484565696E-2</v>
      </c>
      <c r="G2" s="12"/>
      <c r="H2" s="7" t="s">
        <v>457</v>
      </c>
    </row>
    <row r="3" spans="1:8" x14ac:dyDescent="0.3">
      <c r="A3">
        <v>2</v>
      </c>
      <c r="B3" t="s">
        <v>57</v>
      </c>
      <c r="C3" s="163">
        <v>13.04</v>
      </c>
      <c r="D3" s="12"/>
      <c r="E3" s="163">
        <v>12.56</v>
      </c>
      <c r="F3" s="12">
        <f t="shared" ref="F3:F10" si="0">C3/E3-1</f>
        <v>3.8216560509554132E-2</v>
      </c>
      <c r="G3" s="12"/>
      <c r="H3" t="s">
        <v>51</v>
      </c>
    </row>
    <row r="4" spans="1:8" x14ac:dyDescent="0.3">
      <c r="A4">
        <v>3</v>
      </c>
      <c r="B4" t="s">
        <v>58</v>
      </c>
      <c r="C4" s="163">
        <v>12.74</v>
      </c>
      <c r="D4" s="12"/>
      <c r="E4" s="163">
        <v>12.27</v>
      </c>
      <c r="F4" s="12">
        <f t="shared" si="0"/>
        <v>3.830480847595763E-2</v>
      </c>
      <c r="G4" s="12"/>
      <c r="H4" s="7" t="s">
        <v>52</v>
      </c>
    </row>
    <row r="5" spans="1:8" x14ac:dyDescent="0.3">
      <c r="A5">
        <v>4</v>
      </c>
      <c r="B5" t="s">
        <v>59</v>
      </c>
      <c r="C5" s="163">
        <v>12.53</v>
      </c>
      <c r="D5" s="12"/>
      <c r="E5" s="163">
        <v>12.05</v>
      </c>
      <c r="F5" s="12">
        <f t="shared" si="0"/>
        <v>3.9834024896265419E-2</v>
      </c>
      <c r="G5" s="12"/>
      <c r="H5" t="s">
        <v>53</v>
      </c>
    </row>
    <row r="6" spans="1:8" x14ac:dyDescent="0.3">
      <c r="A6">
        <v>5</v>
      </c>
      <c r="B6" t="s">
        <v>60</v>
      </c>
      <c r="C6" s="219">
        <v>12.24</v>
      </c>
      <c r="D6" s="12"/>
      <c r="E6" s="219">
        <f>11.55+0.2</f>
        <v>11.75</v>
      </c>
      <c r="F6" s="12">
        <f t="shared" si="0"/>
        <v>4.1702127659574595E-2</v>
      </c>
      <c r="G6" s="12"/>
      <c r="H6" t="s">
        <v>475</v>
      </c>
    </row>
    <row r="7" spans="1:8" x14ac:dyDescent="0.3">
      <c r="A7">
        <v>6</v>
      </c>
      <c r="B7" t="s">
        <v>61</v>
      </c>
      <c r="C7" s="163">
        <v>12</v>
      </c>
      <c r="D7" s="12"/>
      <c r="E7" s="163">
        <v>11.55</v>
      </c>
      <c r="F7" s="12">
        <f t="shared" si="0"/>
        <v>3.8961038961038863E-2</v>
      </c>
      <c r="G7" s="12"/>
    </row>
    <row r="8" spans="1:8" x14ac:dyDescent="0.3">
      <c r="C8" s="163"/>
      <c r="E8" s="163"/>
    </row>
    <row r="9" spans="1:8" x14ac:dyDescent="0.3">
      <c r="B9" t="s">
        <v>284</v>
      </c>
      <c r="C9" s="163">
        <v>11.37</v>
      </c>
      <c r="D9" s="12"/>
      <c r="E9" s="163">
        <v>10.95</v>
      </c>
      <c r="F9" s="12">
        <f t="shared" si="0"/>
        <v>3.8356164383561708E-2</v>
      </c>
      <c r="G9" s="12"/>
    </row>
    <row r="10" spans="1:8" x14ac:dyDescent="0.3">
      <c r="B10" t="s">
        <v>285</v>
      </c>
      <c r="C10" s="163">
        <v>19.100000000000001</v>
      </c>
      <c r="D10" s="12"/>
      <c r="E10" s="163">
        <v>18.399999999999999</v>
      </c>
      <c r="F10" s="12">
        <f t="shared" si="0"/>
        <v>3.8043478260869623E-2</v>
      </c>
      <c r="G10" s="12"/>
    </row>
    <row r="11" spans="1:8" x14ac:dyDescent="0.3">
      <c r="D11" s="31"/>
      <c r="F11" s="31"/>
      <c r="G11" s="31"/>
    </row>
    <row r="12" spans="1:8" x14ac:dyDescent="0.3">
      <c r="F12" s="31">
        <f>AVERAGE(F2:F7)</f>
        <v>3.9297302558007931E-2</v>
      </c>
      <c r="H12" t="s">
        <v>371</v>
      </c>
    </row>
    <row r="14" spans="1:8" x14ac:dyDescent="0.3">
      <c r="B14" t="s">
        <v>456</v>
      </c>
      <c r="C14" s="28">
        <v>0.1</v>
      </c>
    </row>
    <row r="15" spans="1:8" x14ac:dyDescent="0.3">
      <c r="B15" t="s">
        <v>476</v>
      </c>
      <c r="C15" s="163">
        <v>0.2</v>
      </c>
    </row>
    <row r="17" spans="2:8" x14ac:dyDescent="0.3">
      <c r="B17" s="220" t="s">
        <v>474</v>
      </c>
      <c r="C17" s="220"/>
      <c r="D17" s="220"/>
      <c r="E17" s="220"/>
      <c r="F17" s="220"/>
      <c r="G17" s="220"/>
      <c r="H17" s="220"/>
    </row>
    <row r="18" spans="2:8" x14ac:dyDescent="0.3">
      <c r="B18" s="220" t="s">
        <v>462</v>
      </c>
      <c r="C18" s="220"/>
      <c r="D18" s="220"/>
      <c r="E18" s="220"/>
      <c r="F18" s="220"/>
      <c r="G18" s="220"/>
      <c r="H18" s="220"/>
    </row>
    <row r="19" spans="2:8" x14ac:dyDescent="0.3">
      <c r="B19" s="220" t="s">
        <v>455</v>
      </c>
      <c r="C19" s="220"/>
      <c r="D19" s="220"/>
      <c r="E19" s="220"/>
      <c r="F19" s="220"/>
      <c r="G19" s="220"/>
      <c r="H19" s="220"/>
    </row>
    <row r="22" spans="2:8" x14ac:dyDescent="0.3">
      <c r="B22" t="s">
        <v>147</v>
      </c>
    </row>
    <row r="23" spans="2:8" x14ac:dyDescent="0.3">
      <c r="B23" s="205" t="s">
        <v>477</v>
      </c>
    </row>
  </sheetData>
  <sheetProtection algorithmName="SHA-512" hashValue="hVkc/AGXBX4Fyg5UNaR5q4VpzG8xbfu1xU8jATzWXDSbFBwBP1OIhNC+4me5UmmkPu4uW6n6ik3K1ey11EbRLw==" saltValue="2GAqJR/BVjfFNa4B1Ol5HQ==" spinCount="100000" sheet="1" objects="1" scenarios="1"/>
  <pageMargins left="0.7" right="0.7" top="0.78740157499999996" bottom="0.78740157499999996"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79"/>
  <sheetViews>
    <sheetView zoomScaleNormal="100" workbookViewId="0">
      <selection activeCell="E22" sqref="E22"/>
    </sheetView>
  </sheetViews>
  <sheetFormatPr baseColWidth="10" defaultRowHeight="14.4" x14ac:dyDescent="0.3"/>
  <cols>
    <col min="1" max="1" width="31.88671875" customWidth="1"/>
    <col min="2" max="2" width="21.33203125" bestFit="1" customWidth="1"/>
    <col min="3" max="3" width="29.44140625" bestFit="1" customWidth="1"/>
    <col min="4" max="4" width="19.109375" customWidth="1"/>
    <col min="5" max="5" width="26" bestFit="1" customWidth="1"/>
    <col min="6" max="6" width="21.109375" customWidth="1"/>
    <col min="7" max="7" width="36.6640625" bestFit="1" customWidth="1"/>
    <col min="8" max="8" width="18.88671875" bestFit="1" customWidth="1"/>
    <col min="11" max="11" width="23.33203125" bestFit="1" customWidth="1"/>
  </cols>
  <sheetData>
    <row r="1" spans="1:7" x14ac:dyDescent="0.3">
      <c r="A1" s="183" t="s">
        <v>207</v>
      </c>
      <c r="B1" s="184"/>
      <c r="C1" s="184"/>
      <c r="D1" s="184"/>
      <c r="E1" s="184"/>
      <c r="F1" s="184"/>
      <c r="G1" s="184"/>
    </row>
    <row r="2" spans="1:7" ht="14.4" customHeight="1" x14ac:dyDescent="0.3">
      <c r="B2" s="39" t="s">
        <v>65</v>
      </c>
      <c r="C2" s="39" t="s">
        <v>208</v>
      </c>
      <c r="D2" s="39" t="s">
        <v>210</v>
      </c>
      <c r="F2" t="s">
        <v>466</v>
      </c>
    </row>
    <row r="3" spans="1:7" ht="14.4" customHeight="1" x14ac:dyDescent="0.3">
      <c r="A3" t="s">
        <v>209</v>
      </c>
      <c r="B3" s="58">
        <v>10.43</v>
      </c>
      <c r="C3" s="58">
        <v>0.71399999999999997</v>
      </c>
      <c r="D3" s="58">
        <f>SUM(B3:C3)</f>
        <v>11.144</v>
      </c>
      <c r="F3" s="205" t="s">
        <v>491</v>
      </c>
    </row>
    <row r="4" spans="1:7" x14ac:dyDescent="0.3">
      <c r="A4" t="s">
        <v>472</v>
      </c>
      <c r="B4" s="58">
        <v>11</v>
      </c>
      <c r="C4" s="58">
        <v>1</v>
      </c>
      <c r="D4" s="58">
        <f>SUM(B4:C4)</f>
        <v>12</v>
      </c>
      <c r="F4" t="s">
        <v>470</v>
      </c>
    </row>
    <row r="7" spans="1:7" x14ac:dyDescent="0.3">
      <c r="A7" s="1" t="s">
        <v>471</v>
      </c>
      <c r="F7" t="s">
        <v>365</v>
      </c>
    </row>
    <row r="8" spans="1:7" ht="14.4" customHeight="1" x14ac:dyDescent="0.3">
      <c r="A8" t="s">
        <v>364</v>
      </c>
      <c r="B8">
        <v>14.02</v>
      </c>
      <c r="D8" t="s">
        <v>301</v>
      </c>
      <c r="E8" s="31">
        <v>1.4999999999999999E-2</v>
      </c>
      <c r="F8" s="205" t="s">
        <v>491</v>
      </c>
    </row>
    <row r="9" spans="1:7" ht="14.4" customHeight="1" x14ac:dyDescent="0.3">
      <c r="A9" t="s">
        <v>30</v>
      </c>
      <c r="B9">
        <v>1.5</v>
      </c>
      <c r="D9" t="s">
        <v>106</v>
      </c>
      <c r="E9" s="28">
        <v>0.05</v>
      </c>
      <c r="F9" s="205"/>
    </row>
    <row r="10" spans="1:7" x14ac:dyDescent="0.3">
      <c r="F10" s="205"/>
    </row>
    <row r="13" spans="1:7" x14ac:dyDescent="0.3">
      <c r="A13" s="183" t="s">
        <v>216</v>
      </c>
      <c r="B13" s="184"/>
      <c r="C13" s="184"/>
      <c r="D13" s="184"/>
      <c r="E13" s="184"/>
      <c r="F13" s="184"/>
      <c r="G13" s="184"/>
    </row>
    <row r="14" spans="1:7" x14ac:dyDescent="0.3">
      <c r="A14" s="1"/>
    </row>
    <row r="15" spans="1:7" x14ac:dyDescent="0.3">
      <c r="A15" s="1"/>
      <c r="B15" s="39" t="s">
        <v>223</v>
      </c>
      <c r="C15" s="39" t="s">
        <v>246</v>
      </c>
      <c r="D15" s="39" t="s">
        <v>248</v>
      </c>
      <c r="E15" s="39" t="s">
        <v>249</v>
      </c>
      <c r="F15" s="39" t="s">
        <v>250</v>
      </c>
    </row>
    <row r="16" spans="1:7" x14ac:dyDescent="0.3">
      <c r="A16" s="1" t="s">
        <v>217</v>
      </c>
      <c r="B16" s="6">
        <v>35000</v>
      </c>
      <c r="C16" s="6"/>
      <c r="D16" s="6"/>
      <c r="E16" s="6"/>
      <c r="F16" s="6"/>
    </row>
    <row r="17" spans="1:7" x14ac:dyDescent="0.3">
      <c r="A17" s="1" t="s">
        <v>68</v>
      </c>
      <c r="B17" s="169"/>
      <c r="C17" s="169"/>
      <c r="D17" s="169"/>
      <c r="E17" s="169"/>
      <c r="F17" s="169"/>
    </row>
    <row r="18" spans="1:7" x14ac:dyDescent="0.3">
      <c r="A18" t="s">
        <v>212</v>
      </c>
      <c r="B18" s="6">
        <v>2100</v>
      </c>
      <c r="C18" s="6">
        <v>29600</v>
      </c>
      <c r="D18" s="6">
        <v>219500</v>
      </c>
      <c r="E18" s="6">
        <v>348410</v>
      </c>
      <c r="F18" s="6">
        <v>417000</v>
      </c>
    </row>
    <row r="19" spans="1:7" x14ac:dyDescent="0.3">
      <c r="A19" t="s">
        <v>225</v>
      </c>
      <c r="B19" s="12">
        <f>B18/B$28</f>
        <v>6.0258249641319941E-2</v>
      </c>
      <c r="C19" s="12">
        <f>C18/C$28</f>
        <v>4.023980750146141E-2</v>
      </c>
      <c r="D19" s="12">
        <f>D18/D$28</f>
        <v>7.9743657745307117E-2</v>
      </c>
      <c r="E19" s="12">
        <f>E18/E$28</f>
        <v>3.9729156190169937E-2</v>
      </c>
      <c r="F19" s="12">
        <f>F18/F$28</f>
        <v>2.2946583435318149E-2</v>
      </c>
    </row>
    <row r="20" spans="1:7" x14ac:dyDescent="0.3">
      <c r="A20" t="s">
        <v>69</v>
      </c>
      <c r="B20" s="6">
        <v>2740</v>
      </c>
      <c r="C20" s="6">
        <v>85900</v>
      </c>
      <c r="D20" s="6">
        <v>131760</v>
      </c>
      <c r="E20" s="6">
        <v>594410</v>
      </c>
      <c r="F20" s="6">
        <v>1336300</v>
      </c>
    </row>
    <row r="21" spans="1:7" x14ac:dyDescent="0.3">
      <c r="A21" t="s">
        <v>226</v>
      </c>
      <c r="B21" s="12">
        <f>B20/B$28</f>
        <v>7.8622668579626978E-2</v>
      </c>
      <c r="C21" s="12">
        <f>C20/C$28</f>
        <v>0.11677700893160592</v>
      </c>
      <c r="D21" s="12">
        <f>D20/D$28</f>
        <v>4.7867992457957476E-2</v>
      </c>
      <c r="E21" s="12">
        <f>E20/E$28</f>
        <v>6.7780510694293833E-2</v>
      </c>
      <c r="F21" s="12">
        <f>F20/F$28</f>
        <v>7.3533619771260536E-2</v>
      </c>
    </row>
    <row r="22" spans="1:7" x14ac:dyDescent="0.3">
      <c r="A22" t="s">
        <v>213</v>
      </c>
      <c r="B22" s="6">
        <v>20340</v>
      </c>
      <c r="C22" s="6">
        <v>456650</v>
      </c>
      <c r="D22" s="6">
        <v>1884400</v>
      </c>
      <c r="E22" s="6">
        <v>6584790</v>
      </c>
      <c r="F22" s="6">
        <v>13693400</v>
      </c>
      <c r="G22" s="175">
        <f>788704/F22</f>
        <v>5.7597382680707493E-2</v>
      </c>
    </row>
    <row r="23" spans="1:7" x14ac:dyDescent="0.3">
      <c r="A23" t="s">
        <v>227</v>
      </c>
      <c r="B23" s="12">
        <f>B22/B$28</f>
        <v>0.58364418938307028</v>
      </c>
      <c r="C23" s="12">
        <f>C22/C$28</f>
        <v>0.62079419241697142</v>
      </c>
      <c r="D23" s="12">
        <f>D22/D$28</f>
        <v>0.68459657701711496</v>
      </c>
      <c r="E23" s="12">
        <f>E22/E$28</f>
        <v>0.75086292124069087</v>
      </c>
      <c r="F23" s="12">
        <f>F22/F$28</f>
        <v>0.75351737557118836</v>
      </c>
    </row>
    <row r="24" spans="1:7" x14ac:dyDescent="0.3">
      <c r="A24" t="s">
        <v>228</v>
      </c>
      <c r="B24" s="6">
        <v>9240</v>
      </c>
      <c r="C24" s="6">
        <v>152800</v>
      </c>
      <c r="D24" s="6">
        <v>483060</v>
      </c>
      <c r="E24" s="6">
        <v>1164970</v>
      </c>
      <c r="F24" s="6">
        <v>2623370</v>
      </c>
    </row>
    <row r="25" spans="1:7" x14ac:dyDescent="0.3">
      <c r="A25" t="s">
        <v>229</v>
      </c>
      <c r="B25" s="12">
        <f>B24/B$28</f>
        <v>0.26513629842180775</v>
      </c>
      <c r="C25" s="12">
        <f>C24/C$28</f>
        <v>0.20772441169673322</v>
      </c>
      <c r="D25" s="12">
        <f>D24/D$28</f>
        <v>0.17549417453507085</v>
      </c>
      <c r="E25" s="12">
        <f>E24/E$28</f>
        <v>0.13284140836044395</v>
      </c>
      <c r="F25" s="12">
        <f>F24/F$28</f>
        <v>0.14435822203048099</v>
      </c>
    </row>
    <row r="26" spans="1:7" x14ac:dyDescent="0.3">
      <c r="A26" t="s">
        <v>214</v>
      </c>
      <c r="B26" s="6">
        <v>430</v>
      </c>
      <c r="C26" s="6">
        <v>10640</v>
      </c>
      <c r="D26" s="6">
        <v>33850</v>
      </c>
      <c r="E26" s="6">
        <v>77050</v>
      </c>
      <c r="F26" s="6">
        <v>102570</v>
      </c>
    </row>
    <row r="27" spans="1:7" x14ac:dyDescent="0.3">
      <c r="A27" t="s">
        <v>214</v>
      </c>
      <c r="B27" s="12">
        <f>B26/B$28</f>
        <v>1.2338593974175036E-2</v>
      </c>
      <c r="C27" s="12">
        <f>C26/C$28</f>
        <v>1.4464579453228021E-2</v>
      </c>
      <c r="D27" s="12">
        <f>D26/D$28</f>
        <v>1.2297598244549639E-2</v>
      </c>
      <c r="E27" s="12">
        <f>E26/E$28</f>
        <v>8.7860035144014057E-3</v>
      </c>
      <c r="F27" s="12">
        <f>F26/F$28</f>
        <v>5.6441991917519961E-3</v>
      </c>
    </row>
    <row r="28" spans="1:7" s="1" customFormat="1" x14ac:dyDescent="0.3">
      <c r="A28" s="1" t="s">
        <v>215</v>
      </c>
      <c r="B28" s="20">
        <f t="shared" ref="B28:F29" si="0">B18+B20+B22+B24+B26</f>
        <v>34850</v>
      </c>
      <c r="C28" s="20">
        <f t="shared" si="0"/>
        <v>735590</v>
      </c>
      <c r="D28" s="20">
        <f t="shared" si="0"/>
        <v>2752570</v>
      </c>
      <c r="E28" s="20">
        <f t="shared" si="0"/>
        <v>8769630</v>
      </c>
      <c r="F28" s="20">
        <f t="shared" si="0"/>
        <v>18172640</v>
      </c>
    </row>
    <row r="29" spans="1:7" x14ac:dyDescent="0.3">
      <c r="A29" s="1" t="s">
        <v>224</v>
      </c>
      <c r="B29" s="170">
        <f t="shared" si="0"/>
        <v>1</v>
      </c>
      <c r="C29" s="170">
        <f t="shared" si="0"/>
        <v>0.99999999999999989</v>
      </c>
      <c r="D29" s="170">
        <f t="shared" si="0"/>
        <v>1</v>
      </c>
      <c r="E29" s="170">
        <f t="shared" si="0"/>
        <v>1</v>
      </c>
      <c r="F29" s="170">
        <f t="shared" si="0"/>
        <v>1</v>
      </c>
    </row>
    <row r="30" spans="1:7" x14ac:dyDescent="0.3">
      <c r="A30" t="s">
        <v>219</v>
      </c>
      <c r="B30" s="6">
        <v>34850</v>
      </c>
      <c r="C30" s="6">
        <f>C28</f>
        <v>735590</v>
      </c>
      <c r="D30" s="6">
        <f>D28</f>
        <v>2752570</v>
      </c>
      <c r="E30" s="6">
        <f>E28</f>
        <v>8769630</v>
      </c>
      <c r="F30" s="6">
        <f>F28</f>
        <v>18172640</v>
      </c>
    </row>
    <row r="31" spans="1:7" x14ac:dyDescent="0.3">
      <c r="A31" t="s">
        <v>101</v>
      </c>
      <c r="B31" s="6">
        <f>ROUNDUP(B18*0.02+B22*0.02+B24+B26,0)</f>
        <v>10119</v>
      </c>
      <c r="C31" s="6">
        <f>ROUNDUP(C18*0.02+C22*0.108906164458557+C24+C26,0)</f>
        <v>213764</v>
      </c>
      <c r="D31" s="6">
        <f>ROUNDUP(D18*0.02+D22*0.0632434727234133+D24+D26,0)</f>
        <v>640476</v>
      </c>
      <c r="E31" s="6">
        <f>ROUNDUP(E18*0.02+E22*0.0563323963254713+E24+E26,0)</f>
        <v>1619926</v>
      </c>
      <c r="F31" s="6">
        <f>ROUNDUP(F18*0.02+F22*0.0575973826807075+F24+F26,0)</f>
        <v>3522984</v>
      </c>
    </row>
    <row r="32" spans="1:7" x14ac:dyDescent="0.3">
      <c r="A32" t="s">
        <v>230</v>
      </c>
      <c r="B32" s="171">
        <v>0.2</v>
      </c>
      <c r="C32" s="171">
        <v>0.2</v>
      </c>
      <c r="D32" s="171">
        <v>0.2</v>
      </c>
      <c r="E32" s="171">
        <v>0.2</v>
      </c>
      <c r="F32" s="171">
        <v>0.2</v>
      </c>
    </row>
    <row r="33" spans="1:6" x14ac:dyDescent="0.3">
      <c r="A33" t="s">
        <v>231</v>
      </c>
      <c r="B33" s="6">
        <f>ROUNDUP(B18*0.98*B32,0)</f>
        <v>412</v>
      </c>
      <c r="C33" s="6">
        <f>ROUNDUP(C18*0.98*C32,0)</f>
        <v>5802</v>
      </c>
      <c r="D33" s="6">
        <f>ROUNDUP(D18*0.98*D32,0)</f>
        <v>43022</v>
      </c>
      <c r="E33" s="6">
        <f>ROUNDUP(E18*0.98*E32,0)</f>
        <v>68289</v>
      </c>
      <c r="F33" s="6">
        <f>ROUNDUP(F18*0.98*F32,0)</f>
        <v>81732</v>
      </c>
    </row>
    <row r="34" spans="1:6" x14ac:dyDescent="0.3">
      <c r="A34" t="s">
        <v>218</v>
      </c>
      <c r="B34" s="6">
        <f>B31-B33</f>
        <v>9707</v>
      </c>
      <c r="C34" s="6">
        <f>C31-C33</f>
        <v>207962</v>
      </c>
      <c r="D34" s="6">
        <f>D31-D33</f>
        <v>597454</v>
      </c>
      <c r="E34" s="6">
        <f>E31-E33</f>
        <v>1551637</v>
      </c>
      <c r="F34" s="6">
        <f>F31-F33</f>
        <v>3441252</v>
      </c>
    </row>
    <row r="35" spans="1:6" x14ac:dyDescent="0.3">
      <c r="A35" t="s">
        <v>222</v>
      </c>
      <c r="B35" s="6">
        <v>1744</v>
      </c>
      <c r="C35" s="6">
        <v>26276</v>
      </c>
      <c r="D35" s="6">
        <v>114512</v>
      </c>
      <c r="E35" s="6">
        <v>417377</v>
      </c>
      <c r="F35" s="6">
        <v>853394</v>
      </c>
    </row>
    <row r="36" spans="1:6" x14ac:dyDescent="0.3">
      <c r="A36" t="s">
        <v>221</v>
      </c>
      <c r="B36" s="6">
        <f>B34/B35</f>
        <v>5.5659403669724767</v>
      </c>
      <c r="C36" s="6">
        <f>C34/C35</f>
        <v>7.9145227584107172</v>
      </c>
      <c r="D36" s="6">
        <f>D34/D35</f>
        <v>5.2173920637138469</v>
      </c>
      <c r="E36" s="6">
        <f>E34/E35</f>
        <v>3.7175910507766359</v>
      </c>
      <c r="F36" s="6">
        <f>F34/F35</f>
        <v>4.0324305068936503</v>
      </c>
    </row>
    <row r="37" spans="1:6" x14ac:dyDescent="0.3">
      <c r="A37" t="s">
        <v>220</v>
      </c>
      <c r="B37" s="12">
        <f>B34/B16</f>
        <v>0.27734285714285717</v>
      </c>
      <c r="C37" s="12"/>
      <c r="D37" s="12"/>
      <c r="E37" s="12"/>
      <c r="F37" s="12"/>
    </row>
    <row r="38" spans="1:6" x14ac:dyDescent="0.3">
      <c r="A38" t="s">
        <v>232</v>
      </c>
      <c r="B38" s="34">
        <f>B34/B22</f>
        <v>0.47723697148475908</v>
      </c>
      <c r="C38" s="34">
        <f>C34/C22</f>
        <v>0.45540786160078833</v>
      </c>
      <c r="D38" s="34">
        <f>D34/D22</f>
        <v>0.31705264275100825</v>
      </c>
      <c r="E38" s="34">
        <f>E34/E22</f>
        <v>0.23563955722202226</v>
      </c>
      <c r="F38" s="34">
        <f>F34/F22</f>
        <v>0.25130734514437614</v>
      </c>
    </row>
    <row r="39" spans="1:6" x14ac:dyDescent="0.3">
      <c r="A39" t="s">
        <v>241</v>
      </c>
      <c r="B39" s="34">
        <f>B24/B22</f>
        <v>0.45427728613569324</v>
      </c>
      <c r="C39" s="34">
        <f>C24/C22</f>
        <v>0.33461075221723419</v>
      </c>
      <c r="D39" s="34">
        <f>D24/D22</f>
        <v>0.2563468478030142</v>
      </c>
      <c r="E39" s="34">
        <f>E24/E22</f>
        <v>0.17691832237626409</v>
      </c>
      <c r="F39" s="34">
        <f>F24/F22</f>
        <v>0.19157915492134897</v>
      </c>
    </row>
    <row r="40" spans="1:6" x14ac:dyDescent="0.3">
      <c r="A40" t="s">
        <v>261</v>
      </c>
      <c r="B40" s="172">
        <f>B22/(100%+B43)*100%</f>
        <v>10561.29601744639</v>
      </c>
      <c r="C40" s="172">
        <f>C22/(100%+C43)*100%</f>
        <v>237109.92263357391</v>
      </c>
      <c r="D40" s="172">
        <f>D22/(100%+D43)*100%</f>
        <v>975917.96571546956</v>
      </c>
      <c r="E40" s="172">
        <f>E22/(100%+E43)*100%</f>
        <v>3399654.0864267643</v>
      </c>
      <c r="F40" s="172">
        <f>F22/(100%+F43)*100%</f>
        <v>7044292.4018725241</v>
      </c>
    </row>
    <row r="41" spans="1:6" x14ac:dyDescent="0.3">
      <c r="A41" t="s">
        <v>275</v>
      </c>
      <c r="B41" s="173">
        <v>0.249</v>
      </c>
      <c r="C41" s="173">
        <v>0.249</v>
      </c>
      <c r="D41" s="173">
        <v>0.249</v>
      </c>
      <c r="E41" s="173">
        <v>0.249</v>
      </c>
      <c r="F41" s="173">
        <v>0.249</v>
      </c>
    </row>
    <row r="43" spans="1:6" x14ac:dyDescent="0.3">
      <c r="A43" t="s">
        <v>233</v>
      </c>
      <c r="B43" s="31">
        <v>0.92589999999999995</v>
      </c>
      <c r="C43" s="31">
        <v>0.92589999999999995</v>
      </c>
      <c r="D43" s="31">
        <v>0.93089999999999995</v>
      </c>
      <c r="E43" s="31">
        <v>0.93689999999999996</v>
      </c>
      <c r="F43" s="31">
        <v>0.94389999999999996</v>
      </c>
    </row>
    <row r="44" spans="1:6" x14ac:dyDescent="0.3">
      <c r="A44" t="s">
        <v>234</v>
      </c>
      <c r="B44" s="28">
        <v>0.05</v>
      </c>
      <c r="C44" s="28">
        <v>0.05</v>
      </c>
      <c r="D44" s="28">
        <v>0.05</v>
      </c>
      <c r="E44" s="28">
        <v>0.05</v>
      </c>
      <c r="F44" s="28">
        <v>0.05</v>
      </c>
    </row>
    <row r="45" spans="1:6" x14ac:dyDescent="0.3">
      <c r="A45" t="s">
        <v>235</v>
      </c>
      <c r="B45" s="28">
        <v>0.05</v>
      </c>
      <c r="C45" s="28">
        <v>0.05</v>
      </c>
      <c r="D45" s="28">
        <v>0.05</v>
      </c>
      <c r="E45" s="28">
        <v>0.05</v>
      </c>
      <c r="F45" s="28">
        <v>0.05</v>
      </c>
    </row>
    <row r="47" spans="1:6" x14ac:dyDescent="0.3">
      <c r="A47" t="s">
        <v>236</v>
      </c>
      <c r="B47" s="6">
        <v>8.5</v>
      </c>
      <c r="C47" s="6">
        <v>8.08</v>
      </c>
      <c r="D47" s="6">
        <v>8.08</v>
      </c>
      <c r="E47" s="6">
        <v>8.08</v>
      </c>
      <c r="F47" s="6">
        <v>8.08</v>
      </c>
    </row>
    <row r="48" spans="1:6" x14ac:dyDescent="0.3">
      <c r="A48" t="s">
        <v>237</v>
      </c>
      <c r="B48" s="6">
        <f>B47*B43</f>
        <v>7.8701499999999998</v>
      </c>
      <c r="C48" s="6">
        <f>C47*C43</f>
        <v>7.4812719999999997</v>
      </c>
      <c r="D48" s="6">
        <f>D47*D43</f>
        <v>7.5216719999999997</v>
      </c>
      <c r="E48" s="6">
        <f>E47*E43</f>
        <v>7.5701519999999993</v>
      </c>
      <c r="F48" s="6">
        <f>F47*F43</f>
        <v>7.6267119999999995</v>
      </c>
    </row>
    <row r="49" spans="1:15" x14ac:dyDescent="0.3">
      <c r="A49" t="s">
        <v>238</v>
      </c>
      <c r="B49" s="6">
        <f>B47*B44</f>
        <v>0.42500000000000004</v>
      </c>
      <c r="C49" s="6">
        <f>C47*C44</f>
        <v>0.40400000000000003</v>
      </c>
      <c r="D49" s="6">
        <f>D47*D44</f>
        <v>0.40400000000000003</v>
      </c>
      <c r="E49" s="6">
        <f>E47*E44</f>
        <v>0.40400000000000003</v>
      </c>
      <c r="F49" s="6">
        <f>F47*F44</f>
        <v>0.40400000000000003</v>
      </c>
    </row>
    <row r="50" spans="1:15" x14ac:dyDescent="0.3">
      <c r="A50" s="1" t="s">
        <v>213</v>
      </c>
      <c r="B50" s="20">
        <f>SUM(B47:B49)</f>
        <v>16.79515</v>
      </c>
      <c r="C50" s="20">
        <f>SUM(C47:C49)</f>
        <v>15.965271999999999</v>
      </c>
      <c r="D50" s="20">
        <f>SUM(D47:D49)</f>
        <v>16.005672000000001</v>
      </c>
      <c r="E50" s="20">
        <f>SUM(E47:E49)</f>
        <v>16.054151999999998</v>
      </c>
      <c r="F50" s="20">
        <f>SUM(F47:F49)</f>
        <v>16.110711999999999</v>
      </c>
    </row>
    <row r="51" spans="1:15" x14ac:dyDescent="0.3">
      <c r="A51" t="s">
        <v>101</v>
      </c>
      <c r="B51" s="6">
        <f>B36</f>
        <v>5.5659403669724767</v>
      </c>
      <c r="C51" s="6">
        <f>C36</f>
        <v>7.9145227584107172</v>
      </c>
      <c r="D51" s="6">
        <f>D36</f>
        <v>5.2173920637138469</v>
      </c>
      <c r="E51" s="6">
        <f>E36</f>
        <v>3.7175910507766359</v>
      </c>
      <c r="F51" s="6">
        <f>F36</f>
        <v>4.0324305068936503</v>
      </c>
    </row>
    <row r="52" spans="1:15" x14ac:dyDescent="0.3">
      <c r="A52" s="1" t="s">
        <v>239</v>
      </c>
      <c r="B52" s="20">
        <f>SUM(B50:B51)</f>
        <v>22.361090366972476</v>
      </c>
      <c r="C52" s="20">
        <f>SUM(C50:C51)</f>
        <v>23.879794758410718</v>
      </c>
      <c r="D52" s="20">
        <f>SUM(D50:D51)</f>
        <v>21.223064063713849</v>
      </c>
      <c r="E52" s="20">
        <f>SUM(E50:E51)</f>
        <v>19.771743050776635</v>
      </c>
      <c r="F52" s="20">
        <f>SUM(F50:F51)</f>
        <v>20.14314250689365</v>
      </c>
    </row>
    <row r="53" spans="1:15" x14ac:dyDescent="0.3">
      <c r="A53" t="s">
        <v>235</v>
      </c>
      <c r="B53" s="6">
        <f>B52*B45</f>
        <v>1.1180545183486239</v>
      </c>
      <c r="C53" s="6">
        <f>C52*C45</f>
        <v>1.193989737920536</v>
      </c>
      <c r="D53" s="6">
        <f>D52*D45</f>
        <v>1.0611532031856925</v>
      </c>
      <c r="E53" s="6">
        <f>E52*E45</f>
        <v>0.98858715253883178</v>
      </c>
      <c r="F53" s="6">
        <f>F52*F45</f>
        <v>1.0071571253446825</v>
      </c>
    </row>
    <row r="54" spans="1:15" x14ac:dyDescent="0.3">
      <c r="A54" s="1" t="s">
        <v>240</v>
      </c>
      <c r="B54" s="20">
        <f>SUM(B52:B53)</f>
        <v>23.479144885321102</v>
      </c>
      <c r="C54" s="20">
        <f>SUM(C52:C53)</f>
        <v>25.073784496331253</v>
      </c>
      <c r="D54" s="20">
        <f>SUM(D52:D53)</f>
        <v>22.284217266899542</v>
      </c>
      <c r="E54" s="20">
        <f>SUM(E52:E53)</f>
        <v>20.760330203315466</v>
      </c>
      <c r="F54" s="20">
        <f>SUM(F52:F53)</f>
        <v>21.150299632238333</v>
      </c>
    </row>
    <row r="55" spans="1:15" x14ac:dyDescent="0.3">
      <c r="A55" t="s">
        <v>247</v>
      </c>
      <c r="B55" s="33">
        <f>B53/B58</f>
        <v>0.10531291087916204</v>
      </c>
      <c r="C55" s="33">
        <f>C53/C58</f>
        <v>0.11831145489862541</v>
      </c>
      <c r="D55" s="33">
        <f>D53/D58</f>
        <v>0.10514879261683528</v>
      </c>
      <c r="E55" s="33">
        <f>E53/E58</f>
        <v>9.7958282719128931E-2</v>
      </c>
      <c r="F55" s="33">
        <f>F53/F58</f>
        <v>9.979836595461343E-2</v>
      </c>
    </row>
    <row r="57" spans="1:15" x14ac:dyDescent="0.3">
      <c r="A57" s="1" t="s">
        <v>242</v>
      </c>
      <c r="B57" s="182" t="s">
        <v>291</v>
      </c>
      <c r="C57" s="182" t="s">
        <v>288</v>
      </c>
      <c r="D57" s="182" t="s">
        <v>289</v>
      </c>
      <c r="E57" s="182" t="s">
        <v>290</v>
      </c>
      <c r="F57" s="182" t="s">
        <v>363</v>
      </c>
      <c r="G57" s="182" t="s">
        <v>286</v>
      </c>
      <c r="H57" s="182" t="s">
        <v>287</v>
      </c>
      <c r="K57" s="182" t="s">
        <v>286</v>
      </c>
      <c r="O57" s="186" t="s">
        <v>294</v>
      </c>
    </row>
    <row r="58" spans="1:15" x14ac:dyDescent="0.3">
      <c r="A58" s="1" t="s">
        <v>244</v>
      </c>
      <c r="B58" s="6">
        <f>B47*(1+B41)</f>
        <v>10.6165</v>
      </c>
      <c r="C58" s="6">
        <f>C47*(1+C41)</f>
        <v>10.091920000000002</v>
      </c>
      <c r="D58" s="6">
        <f>D47*(1+D41)</f>
        <v>10.091920000000002</v>
      </c>
      <c r="E58" s="6">
        <f>E47*(1+E41)</f>
        <v>10.091920000000002</v>
      </c>
      <c r="F58" s="6">
        <f>F47*(1+F41)</f>
        <v>10.091920000000002</v>
      </c>
      <c r="G58" s="185" t="str">
        <f>Unternehmensdaten!B7</f>
        <v>bis 250 Mitarbeiter</v>
      </c>
      <c r="K58" t="s">
        <v>291</v>
      </c>
      <c r="L58">
        <v>1</v>
      </c>
      <c r="O58" s="186" t="s">
        <v>295</v>
      </c>
    </row>
    <row r="59" spans="1:15" x14ac:dyDescent="0.3">
      <c r="A59" s="180" t="s">
        <v>71</v>
      </c>
      <c r="B59" s="6"/>
      <c r="C59" s="188">
        <v>2.7300000000000001E-2</v>
      </c>
      <c r="D59" s="188">
        <v>2.7300000000000001E-2</v>
      </c>
      <c r="E59" s="188">
        <v>2.7300000000000001E-2</v>
      </c>
      <c r="F59" s="188">
        <v>2.7300000000000001E-2</v>
      </c>
      <c r="H59" s="12">
        <f>VLOOKUP($A59,$A$58:$F$65,MATCH($G$58,$A$57:$F$57,0),FALSE)</f>
        <v>2.7300000000000001E-2</v>
      </c>
      <c r="K59" t="s">
        <v>288</v>
      </c>
      <c r="L59">
        <v>2</v>
      </c>
      <c r="O59" s="186" t="s">
        <v>296</v>
      </c>
    </row>
    <row r="60" spans="1:15" x14ac:dyDescent="0.3">
      <c r="A60" s="7" t="s">
        <v>3</v>
      </c>
      <c r="B60" s="6"/>
      <c r="C60" s="6"/>
      <c r="D60" s="22">
        <f>D43-C43</f>
        <v>5.0000000000000044E-3</v>
      </c>
      <c r="E60" s="22">
        <f>E43-C43</f>
        <v>1.100000000000001E-2</v>
      </c>
      <c r="F60" s="176">
        <f>E60</f>
        <v>1.100000000000001E-2</v>
      </c>
      <c r="H60" s="12">
        <f>VLOOKUP($A60,$A$58:$F$65,MATCH($G$58,$A$57:$F$57,0),FALSE)</f>
        <v>1.100000000000001E-2</v>
      </c>
      <c r="K60" t="s">
        <v>289</v>
      </c>
      <c r="L60">
        <v>3</v>
      </c>
    </row>
    <row r="61" spans="1:15" x14ac:dyDescent="0.3">
      <c r="A61" s="7" t="s">
        <v>251</v>
      </c>
      <c r="B61" s="6"/>
      <c r="C61" s="6"/>
      <c r="D61" s="22"/>
      <c r="E61" s="22"/>
      <c r="F61" s="176">
        <f>F43-C43-F60</f>
        <v>7.0000000000000062E-3</v>
      </c>
      <c r="G61" t="s">
        <v>264</v>
      </c>
      <c r="H61" s="12">
        <f>IF(Unternehmensdaten!B5="Wien",'Statistische Daten'!F61,0)</f>
        <v>7.0000000000000062E-3</v>
      </c>
      <c r="K61" t="s">
        <v>290</v>
      </c>
      <c r="L61">
        <v>4</v>
      </c>
      <c r="O61" s="186" t="s">
        <v>297</v>
      </c>
    </row>
    <row r="62" spans="1:15" x14ac:dyDescent="0.3">
      <c r="A62" s="7" t="s">
        <v>123</v>
      </c>
      <c r="B62" s="6">
        <v>0</v>
      </c>
      <c r="C62" s="22">
        <f>$B$79</f>
        <v>5.3125E-7</v>
      </c>
      <c r="D62" s="22">
        <f>$B$79</f>
        <v>5.3125E-7</v>
      </c>
      <c r="E62" s="22">
        <f>$B$79</f>
        <v>5.3125E-7</v>
      </c>
      <c r="F62" s="22">
        <f>$B$79</f>
        <v>5.3125E-7</v>
      </c>
      <c r="H62" s="12">
        <f>VLOOKUP($A62,$A$58:$F$65,MATCH($G$58,$A$57:$F$57,0),FALSE)</f>
        <v>5.3125E-7</v>
      </c>
      <c r="K62" t="s">
        <v>363</v>
      </c>
      <c r="L62">
        <v>5</v>
      </c>
      <c r="O62" s="186"/>
    </row>
    <row r="63" spans="1:15" x14ac:dyDescent="0.3">
      <c r="A63" s="7" t="s">
        <v>245</v>
      </c>
      <c r="B63" s="171">
        <v>0</v>
      </c>
      <c r="C63" s="6"/>
      <c r="D63" s="12">
        <f>70*'Österreichische Werte'!$E$40/D35/D58</f>
        <v>9.9405384525391039E-3</v>
      </c>
      <c r="E63" s="12">
        <f>250*'Österreichische Werte'!$E$40/E35/E58</f>
        <v>9.7403455669673594E-3</v>
      </c>
      <c r="F63" s="12">
        <f>510*'Österreichische Werte'!$E$40/F35/F58</f>
        <v>9.7181469190976682E-3</v>
      </c>
      <c r="G63" t="s">
        <v>273</v>
      </c>
      <c r="H63" s="12">
        <f>VLOOKUP($A63,$A$58:$F$65,MATCH($G$58,$A$57:$F$57,0),FALSE)</f>
        <v>9.7403455669673594E-3</v>
      </c>
      <c r="O63" s="186" t="s">
        <v>298</v>
      </c>
    </row>
    <row r="64" spans="1:15" x14ac:dyDescent="0.3">
      <c r="A64" s="7" t="s">
        <v>243</v>
      </c>
      <c r="B64" s="12">
        <f>B18*0.98/B35/B58</f>
        <v>0.11115206250267347</v>
      </c>
      <c r="C64" s="12">
        <f>C18*0.98/C35/C58</f>
        <v>0.10939179140240154</v>
      </c>
      <c r="D64" s="12">
        <f>D18*0.98/D35/D58</f>
        <v>0.18613832488706658</v>
      </c>
      <c r="E64" s="12">
        <f>E18*0.98/E35/E58</f>
        <v>8.106145130222632E-2</v>
      </c>
      <c r="F64" s="12">
        <f>F18*0.98/F35/F58</f>
        <v>4.7450276382942337E-2</v>
      </c>
      <c r="H64" s="12">
        <f>VLOOKUP($A64,$A$58:$F$65,MATCH($G$58,$A$57:$F$57,0),FALSE)</f>
        <v>8.106145130222632E-2</v>
      </c>
    </row>
    <row r="65" spans="1:8" x14ac:dyDescent="0.3">
      <c r="A65" s="7" t="s">
        <v>101</v>
      </c>
      <c r="B65" s="12">
        <f>B51/B58</f>
        <v>0.52427262911246419</v>
      </c>
      <c r="C65" s="12">
        <f>C51/C58</f>
        <v>0.78424350950173161</v>
      </c>
      <c r="D65" s="12">
        <f>D51/D58</f>
        <v>0.51698706130387939</v>
      </c>
      <c r="E65" s="12">
        <f>E51/E58</f>
        <v>0.36837302027529301</v>
      </c>
      <c r="F65" s="12">
        <f>F51/F58</f>
        <v>0.3995702013981135</v>
      </c>
      <c r="H65" s="12">
        <f>VLOOKUP($A65,$A$58:$F$65,MATCH($G$58,$A$57:$F$57,0),FALSE)</f>
        <v>0.36837302027529301</v>
      </c>
    </row>
    <row r="66" spans="1:8" x14ac:dyDescent="0.3">
      <c r="A66" s="180" t="s">
        <v>99</v>
      </c>
      <c r="C66" s="189">
        <v>7.0000000000000007E-2</v>
      </c>
      <c r="D66" s="189">
        <v>0.05</v>
      </c>
      <c r="E66" s="189">
        <v>0.09</v>
      </c>
      <c r="F66" s="189">
        <v>7.0000000000000007E-2</v>
      </c>
      <c r="H66" s="12">
        <f>VLOOKUP($A66,$A$58:$F$66,MATCH($G$58,$A$57:$F$57,0),FALSE)</f>
        <v>0.09</v>
      </c>
    </row>
    <row r="67" spans="1:8" x14ac:dyDescent="0.3">
      <c r="B67" s="6"/>
    </row>
    <row r="68" spans="1:8" x14ac:dyDescent="0.3">
      <c r="B68" s="39"/>
      <c r="C68" s="39"/>
      <c r="D68" s="39"/>
      <c r="E68" s="39"/>
      <c r="F68" s="39"/>
    </row>
    <row r="71" spans="1:8" x14ac:dyDescent="0.3">
      <c r="A71" s="183" t="s">
        <v>283</v>
      </c>
      <c r="B71" s="184"/>
      <c r="C71" s="184"/>
      <c r="D71" s="184"/>
      <c r="E71" s="184"/>
      <c r="F71" s="184"/>
      <c r="G71" s="184"/>
    </row>
    <row r="72" spans="1:8" x14ac:dyDescent="0.3">
      <c r="A72" t="s">
        <v>277</v>
      </c>
      <c r="B72" s="6">
        <v>630000000</v>
      </c>
    </row>
    <row r="73" spans="1:8" x14ac:dyDescent="0.3">
      <c r="A73" t="s">
        <v>278</v>
      </c>
      <c r="B73" s="6">
        <v>51000</v>
      </c>
    </row>
    <row r="74" spans="1:8" x14ac:dyDescent="0.3">
      <c r="A74" t="s">
        <v>276</v>
      </c>
      <c r="B74" s="28">
        <v>0.4</v>
      </c>
    </row>
    <row r="75" spans="1:8" x14ac:dyDescent="0.3">
      <c r="A75" t="s">
        <v>279</v>
      </c>
      <c r="B75" s="10">
        <f>B73*B74</f>
        <v>20400</v>
      </c>
    </row>
    <row r="76" spans="1:8" x14ac:dyDescent="0.3">
      <c r="A76" t="s">
        <v>281</v>
      </c>
      <c r="B76" s="28">
        <v>0.7</v>
      </c>
    </row>
    <row r="77" spans="1:8" x14ac:dyDescent="0.3">
      <c r="A77" t="s">
        <v>280</v>
      </c>
      <c r="B77" s="10">
        <f>B75*0.7</f>
        <v>14280</v>
      </c>
    </row>
    <row r="78" spans="1:8" x14ac:dyDescent="0.3">
      <c r="A78" t="s">
        <v>282</v>
      </c>
      <c r="B78" s="6">
        <f>B77*C78</f>
        <v>334.6875</v>
      </c>
      <c r="C78" s="181">
        <f>'Österreichische Werte'!B44</f>
        <v>2.34375E-2</v>
      </c>
    </row>
    <row r="79" spans="1:8" x14ac:dyDescent="0.3">
      <c r="A79" t="s">
        <v>263</v>
      </c>
      <c r="B79" s="12">
        <f>B78/B72</f>
        <v>5.3125E-7</v>
      </c>
    </row>
  </sheetData>
  <sheetProtection algorithmName="SHA-512" hashValue="WYnlfrbOup3yPVL8q25YMHqjqARrGMVA+EeN2kdRw7J0CW88T1gio0ZoiKgj1Pj3C7i9n/r9cOPuT73m0/ZYOA==" saltValue="aGu0aobTKeLnXymdx1UR2Q==" spinCount="100000" sheet="1" objects="1" scenarios="1"/>
  <pageMargins left="0.7" right="0.7" top="0.78740157499999996" bottom="0.78740157499999996"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11</vt:i4>
      </vt:variant>
    </vt:vector>
  </HeadingPairs>
  <TitlesOfParts>
    <vt:vector size="17" baseType="lpstr">
      <vt:lpstr>Unternehmensdaten</vt:lpstr>
      <vt:lpstr>Kalkulation</vt:lpstr>
      <vt:lpstr>Übersicht LZ_NLZ</vt:lpstr>
      <vt:lpstr>Österreichische Werte</vt:lpstr>
      <vt:lpstr>KV Daten DFG 2025</vt:lpstr>
      <vt:lpstr>Statistische Daten</vt:lpstr>
      <vt:lpstr>Bundesland</vt:lpstr>
      <vt:lpstr>Kalkulation!Druckbereich</vt:lpstr>
      <vt:lpstr>'KV Daten DFG 2025'!Druckbereich</vt:lpstr>
      <vt:lpstr>'Österreichische Werte'!Druckbereich</vt:lpstr>
      <vt:lpstr>'Statistische Daten'!Druckbereich</vt:lpstr>
      <vt:lpstr>'Übersicht LZ_NLZ'!Druckbereich</vt:lpstr>
      <vt:lpstr>Unternehmensdaten!Druckbereich</vt:lpstr>
      <vt:lpstr>DZ</vt:lpstr>
      <vt:lpstr>Feiertage</vt:lpstr>
      <vt:lpstr>kalkulationswerte</vt:lpstr>
      <vt:lpstr>Unternehmensart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Fiedler</dc:creator>
  <cp:lastModifiedBy>Peter Fiedler</cp:lastModifiedBy>
  <cp:lastPrinted>2015-10-13T12:55:57Z</cp:lastPrinted>
  <dcterms:created xsi:type="dcterms:W3CDTF">2014-08-25T05:53:07Z</dcterms:created>
  <dcterms:modified xsi:type="dcterms:W3CDTF">2025-02-03T12:19:23Z</dcterms:modified>
</cp:coreProperties>
</file>