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9.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10.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32.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33.xml" ContentType="application/vnd.openxmlformats-officedocument.drawing+xml"/>
  <Override PartName="/xl/charts/chart20.xml" ContentType="application/vnd.openxmlformats-officedocument.drawingml.chart+xml"/>
  <Override PartName="/xl/drawings/drawing34.xml" ContentType="application/vnd.openxmlformats-officedocument.drawing+xml"/>
  <Override PartName="/xl/charts/chart21.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22.xml" ContentType="application/vnd.openxmlformats-officedocument.drawingml.chart+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harts/chart23.xml" ContentType="application/vnd.openxmlformats-officedocument.drawingml.chart+xml"/>
  <Override PartName="/xl/drawings/drawing41.xml" ContentType="application/vnd.openxmlformats-officedocument.drawing+xml"/>
  <Override PartName="/xl/charts/chart24.xml" ContentType="application/vnd.openxmlformats-officedocument.drawingml.chart+xml"/>
  <Override PartName="/xl/drawings/drawing42.xml" ContentType="application/vnd.openxmlformats-officedocument.drawing+xml"/>
  <Override PartName="/xl/charts/chart25.xml" ContentType="application/vnd.openxmlformats-officedocument.drawingml.chart+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46.xml" ContentType="application/vnd.openxmlformats-officedocument.drawing+xml"/>
  <Override PartName="/xl/drawings/drawing47.xml" ContentType="application/vnd.openxmlformats-officedocument.drawing+xml"/>
  <Override PartName="/xl/charts/chart28.xml" ContentType="application/vnd.openxmlformats-officedocument.drawingml.chart+xml"/>
  <Override PartName="/xl/drawings/drawing48.xml" ContentType="application/vnd.openxmlformats-officedocument.drawingml.chartshapes+xml"/>
  <Override PartName="/xl/drawings/drawing49.xml" ContentType="application/vnd.openxmlformats-officedocument.drawing+xml"/>
  <Override PartName="/xl/charts/chart2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fileSharing readOnlyRecommended="1"/>
  <workbookPr showInkAnnotation="0"/>
  <mc:AlternateContent xmlns:mc="http://schemas.openxmlformats.org/markup-compatibility/2006">
    <mc:Choice Requires="x15">
      <x15ac:absPath xmlns:x15ac="http://schemas.microsoft.com/office/spreadsheetml/2010/11/ac" url="S:\VIZ\2024_VIZ\Bearbeitung VIZ_2024\"/>
    </mc:Choice>
  </mc:AlternateContent>
  <xr:revisionPtr revIDLastSave="0" documentId="8_{31E0B53D-79E7-481F-877A-9B0F9D734AAB}" xr6:coauthVersionLast="47" xr6:coauthVersionMax="47" xr10:uidLastSave="{00000000-0000-0000-0000-000000000000}"/>
  <bookViews>
    <workbookView xWindow="28680" yWindow="-120" windowWidth="29040" windowHeight="15840" firstSheet="32" activeTab="36" xr2:uid="{00000000-000D-0000-FFFF-FFFF00000000}"/>
  </bookViews>
  <sheets>
    <sheet name="Titelseite" sheetId="1" r:id="rId1"/>
    <sheet name="Zum Inhalt" sheetId="2" r:id="rId2"/>
    <sheet name="Kurzprofil Vorarlberg" sheetId="3" r:id="rId3"/>
    <sheet name="Landesfläche" sheetId="4" r:id="rId4"/>
    <sheet name="Bevölkerung" sheetId="5" r:id="rId5"/>
    <sheet name="Beschäftigte u Grenzgänger" sheetId="6" r:id="rId6"/>
    <sheet name="Erwerbstätige n Alter" sheetId="7" r:id="rId7"/>
    <sheet name="Schulbesuch" sheetId="8" r:id="rId8"/>
    <sheet name="Haushalte u Landtagswahlen" sheetId="9" r:id="rId9"/>
    <sheet name="Steuern, Abgaben, Landesbudget" sheetId="10" r:id="rId10"/>
    <sheet name="Arbeitskosten, Preisindizes" sheetId="11" r:id="rId11"/>
    <sheet name="Entwicklung Kammermitglieder" sheetId="12" r:id="rId12"/>
    <sheet name="Kammermitglieder Sparten, FG" sheetId="13" r:id="rId13"/>
    <sheet name="Arbeitsstätten, Beschäftigte" sheetId="14" r:id="rId14"/>
    <sheet name="Graf Kammermitglieder, Besch" sheetId="15" r:id="rId15"/>
    <sheet name="Besch gewerbl Wirtschaft" sheetId="16" r:id="rId16"/>
    <sheet name="Größenkl GWH, Industrie" sheetId="17" r:id="rId17"/>
    <sheet name="Größenkl Handel, Bank, Versich" sheetId="18" r:id="rId18"/>
    <sheet name="Größenkl Trans, Verkehr, Touris" sheetId="19" r:id="rId19"/>
    <sheet name="Größenkl IC, Überblick" sheetId="20" r:id="rId20"/>
    <sheet name="Reg Besch gew Wirtschaft" sheetId="21" r:id="rId21"/>
    <sheet name="WKMitglieder Bezirke u Rechtsfo" sheetId="22" r:id="rId22"/>
    <sheet name="Unternehmensneugründungen" sheetId="23" r:id="rId23"/>
    <sheet name="Bruttoregionalprodukt" sheetId="24" r:id="rId24"/>
    <sheet name="Bruttoreginalprod je EW" sheetId="25" r:id="rId25"/>
    <sheet name="Reale Bruttowertschöpfung" sheetId="26" r:id="rId26"/>
    <sheet name="Nominelle Bruttowertschöpfung" sheetId="27" r:id="rId27"/>
    <sheet name="Sachgüterproduktion" sheetId="28" r:id="rId28"/>
    <sheet name="Sachgüterproduktion je EW" sheetId="29" r:id="rId29"/>
    <sheet name=" Industrieproduktion" sheetId="30" r:id="rId30"/>
    <sheet name="Industriebesch Bdl je 1000 EW" sheetId="31" r:id="rId31"/>
    <sheet name="Gewerbeproduktion" sheetId="32" r:id="rId32"/>
    <sheet name="Gebäude u. Wohnbautätigkeit" sheetId="33" r:id="rId33"/>
    <sheet name="Handel" sheetId="34" r:id="rId34"/>
    <sheet name="Entwicklung Kaufkraft" sheetId="35" r:id="rId35"/>
    <sheet name="Tourismus" sheetId="36" r:id="rId36"/>
    <sheet name="Ankünfte Nächtigungen Regionen" sheetId="37" r:id="rId37"/>
    <sheet name=" Verkehr Bestand Vlb" sheetId="38" r:id="rId38"/>
    <sheet name="Verkehr LKW, Seilbahnen" sheetId="39" r:id="rId39"/>
    <sheet name="Entwicklung Außenhandel" sheetId="40" r:id="rId40"/>
    <sheet name="Exporte WRäumen u WGruppen" sheetId="41" r:id="rId41"/>
    <sheet name="Energieverbrauch Energieträger" sheetId="42" r:id="rId42"/>
    <sheet name="E-Verbrauch Anteile Energieträg" sheetId="43" r:id="rId43"/>
    <sheet name="Überblick" sheetId="44" r:id="rId44"/>
    <sheet name="MT4" sheetId="45" state="hidden" r:id="rId45"/>
    <sheet name="MT7 (2)" sheetId="46" state="hidden" r:id="rId46"/>
  </sheets>
  <calcPr calcId="191029"/>
  <customWorkbookViews>
    <customWorkbookView name="Schwerzler Sabine, WKV WP - Persönliche Ansicht" guid="{00BB8FC3-0B7F-4485-B1CD-FF164EC3970C}" mergeInterval="0" personalView="1" maximized="1" xWindow="-8" yWindow="-8" windowWidth="1936" windowHeight="1056" activeSheetId="37"/>
    <customWorkbookView name="Mitterlechner Thomas, Mag. WKV Statistik - Persönliche Ansicht" guid="{5DDDE19F-F10F-4514-A83C-F71CDD7BE512}" mergeInterval="0" personalView="1" maximized="1" xWindow="-8" yWindow="-8" windowWidth="1936" windowHeight="1056" activeSheetId="3"/>
    <customWorkbookView name="Sturn Gerhard, WKV IT - Persönliche Ansicht" guid="{9A6D0F5E-68D7-4772-8712-9975EE0A4B2C}" mergeInterval="0" personalView="1" xWindow="432" yWindow="56" windowWidth="1693" windowHeight="108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37" l="1"/>
  <c r="H28" i="9"/>
  <c r="G28" i="9"/>
  <c r="F28" i="9"/>
  <c r="E28" i="9"/>
  <c r="D28" i="9"/>
  <c r="C28" i="9"/>
  <c r="C57" i="37"/>
  <c r="C56" i="37"/>
  <c r="C55" i="37"/>
  <c r="C54" i="37"/>
  <c r="C53" i="37"/>
  <c r="C52" i="37"/>
  <c r="C51" i="37"/>
  <c r="C50" i="37"/>
  <c r="C49" i="37"/>
  <c r="C48" i="37"/>
  <c r="E43" i="37"/>
  <c r="E42" i="37"/>
  <c r="E41" i="37"/>
  <c r="E40" i="37"/>
  <c r="E39" i="37"/>
  <c r="E38" i="37"/>
  <c r="C43" i="37"/>
  <c r="C42" i="37"/>
  <c r="C41" i="37"/>
  <c r="C40" i="37"/>
  <c r="C39" i="37"/>
  <c r="C38" i="37"/>
  <c r="E32" i="37"/>
  <c r="E31" i="37"/>
  <c r="E29" i="37"/>
  <c r="E28" i="37"/>
  <c r="E27" i="37"/>
  <c r="C32" i="37"/>
  <c r="C31" i="37"/>
  <c r="C30" i="37"/>
  <c r="C29" i="37"/>
  <c r="C28" i="37"/>
  <c r="C27" i="37"/>
  <c r="E21" i="37"/>
  <c r="C21" i="37"/>
  <c r="E12" i="37"/>
  <c r="C12" i="37"/>
  <c r="K61" i="43"/>
  <c r="K15" i="39"/>
  <c r="D39" i="38"/>
  <c r="E27" i="23"/>
  <c r="E26" i="23"/>
  <c r="E25" i="23"/>
  <c r="E24" i="23"/>
  <c r="E23" i="23"/>
  <c r="E22" i="23"/>
  <c r="E21" i="23"/>
  <c r="L25" i="21"/>
  <c r="L24" i="21"/>
  <c r="L26" i="21"/>
  <c r="L23" i="21"/>
  <c r="H19" i="20"/>
  <c r="H20" i="20"/>
  <c r="H21" i="20"/>
  <c r="H22" i="20"/>
  <c r="D12" i="20"/>
  <c r="C23" i="19"/>
  <c r="E23" i="19"/>
  <c r="D24" i="19"/>
  <c r="B24" i="19"/>
  <c r="D12" i="19"/>
  <c r="B24" i="18"/>
  <c r="D12" i="18"/>
  <c r="B12" i="18"/>
  <c r="D23" i="17"/>
  <c r="D12" i="17"/>
  <c r="B12" i="17"/>
  <c r="I47" i="16"/>
  <c r="I31" i="15"/>
  <c r="D17" i="14"/>
  <c r="E17" i="14"/>
  <c r="C17" i="14"/>
  <c r="D27" i="13"/>
  <c r="B27" i="13"/>
  <c r="D50" i="12"/>
  <c r="D34" i="12"/>
  <c r="D18" i="12"/>
  <c r="L6" i="10"/>
  <c r="K48" i="7"/>
  <c r="L48" i="7"/>
  <c r="E19" i="27"/>
  <c r="C19" i="27"/>
  <c r="E20" i="24" l="1"/>
  <c r="C20" i="24"/>
  <c r="E57" i="37" l="1"/>
  <c r="E56" i="37"/>
  <c r="E55" i="37"/>
  <c r="E54" i="37"/>
  <c r="E53" i="37"/>
  <c r="E52" i="37"/>
  <c r="E51" i="37"/>
  <c r="E50" i="37"/>
  <c r="E49" i="37"/>
  <c r="E48" i="37"/>
  <c r="E20" i="37"/>
  <c r="E19" i="37"/>
  <c r="E18" i="37"/>
  <c r="E17" i="37"/>
  <c r="E16" i="37"/>
  <c r="E15" i="37"/>
  <c r="C28" i="23" l="1"/>
  <c r="B28" i="23"/>
  <c r="G15" i="21" l="1"/>
  <c r="E15" i="21"/>
  <c r="F15" i="21"/>
  <c r="D15" i="21"/>
  <c r="C15" i="21"/>
  <c r="B15" i="21"/>
  <c r="J27" i="21"/>
  <c r="E10" i="20"/>
  <c r="D49" i="12"/>
  <c r="D33" i="12"/>
  <c r="D17" i="12"/>
  <c r="L47" i="7"/>
  <c r="K47" i="7"/>
  <c r="J61" i="43"/>
  <c r="F6" i="42"/>
  <c r="F7" i="42"/>
  <c r="F8" i="42"/>
  <c r="F9" i="42"/>
  <c r="F10" i="42"/>
  <c r="F11" i="42"/>
  <c r="F12" i="42"/>
  <c r="F5" i="42"/>
  <c r="C12" i="42"/>
  <c r="C11" i="42"/>
  <c r="C10" i="42"/>
  <c r="C9" i="42"/>
  <c r="C8" i="42"/>
  <c r="C7" i="42"/>
  <c r="C6" i="42"/>
  <c r="C5" i="42"/>
  <c r="E20" i="17"/>
  <c r="E18" i="27"/>
  <c r="C18" i="27"/>
  <c r="E19" i="24"/>
  <c r="C19" i="24"/>
  <c r="D21" i="37"/>
  <c r="E32" i="38"/>
  <c r="H27" i="21"/>
  <c r="T30" i="20"/>
  <c r="AX20" i="20"/>
  <c r="T22" i="20"/>
  <c r="D48" i="12"/>
  <c r="D32" i="12"/>
  <c r="D16" i="12"/>
  <c r="L46" i="7"/>
  <c r="K46" i="7"/>
  <c r="H61" i="43"/>
  <c r="E17" i="27"/>
  <c r="C17" i="27"/>
  <c r="E18" i="24"/>
  <c r="C18" i="24"/>
  <c r="C61" i="43"/>
  <c r="F39" i="38"/>
  <c r="G31" i="38" s="1"/>
  <c r="L45" i="7"/>
  <c r="K45" i="7"/>
  <c r="S29" i="20"/>
  <c r="S28" i="20"/>
  <c r="S27" i="20"/>
  <c r="S26" i="20"/>
  <c r="I21" i="20"/>
  <c r="D47" i="12"/>
  <c r="D31" i="12"/>
  <c r="D15" i="12"/>
  <c r="F31" i="27"/>
  <c r="F32" i="27"/>
  <c r="F34" i="27"/>
  <c r="F36" i="27"/>
  <c r="F37" i="27"/>
  <c r="F38" i="27"/>
  <c r="F39" i="27"/>
  <c r="F40" i="27"/>
  <c r="F41" i="27"/>
  <c r="F30" i="27"/>
  <c r="F26" i="27"/>
  <c r="F28" i="27"/>
  <c r="E16" i="27"/>
  <c r="C16" i="27"/>
  <c r="E17" i="24"/>
  <c r="C17" i="24"/>
  <c r="F10" i="23"/>
  <c r="J15" i="39"/>
  <c r="L15" i="39"/>
  <c r="B39" i="38"/>
  <c r="C30" i="38" s="1"/>
  <c r="G27" i="21"/>
  <c r="I43" i="16"/>
  <c r="D46" i="12"/>
  <c r="D30" i="12"/>
  <c r="D14" i="12"/>
  <c r="L44" i="7"/>
  <c r="K44" i="7"/>
  <c r="K42" i="7"/>
  <c r="L42" i="7"/>
  <c r="K34" i="7"/>
  <c r="L34" i="7"/>
  <c r="K35" i="7"/>
  <c r="L35" i="7"/>
  <c r="K36" i="7"/>
  <c r="L36" i="7"/>
  <c r="K37" i="7"/>
  <c r="L37" i="7"/>
  <c r="K38" i="7"/>
  <c r="L38" i="7"/>
  <c r="K39" i="7"/>
  <c r="L39" i="7"/>
  <c r="K40" i="7"/>
  <c r="L40" i="7"/>
  <c r="K41" i="7"/>
  <c r="L41" i="7"/>
  <c r="K43" i="7"/>
  <c r="L43" i="7"/>
  <c r="L9" i="10"/>
  <c r="E15" i="27"/>
  <c r="C15" i="27"/>
  <c r="E16" i="24"/>
  <c r="C16" i="24"/>
  <c r="B21" i="37"/>
  <c r="D12" i="37"/>
  <c r="E28" i="23"/>
  <c r="B12" i="37"/>
  <c r="E10" i="17"/>
  <c r="C10" i="17"/>
  <c r="I42" i="16"/>
  <c r="I11" i="15"/>
  <c r="D13" i="13"/>
  <c r="E9" i="13" s="1"/>
  <c r="B13" i="13"/>
  <c r="C9" i="13" s="1"/>
  <c r="D45" i="12"/>
  <c r="D29" i="12"/>
  <c r="D13" i="12"/>
  <c r="E14" i="27"/>
  <c r="C14" i="27"/>
  <c r="E15" i="24"/>
  <c r="C15" i="24"/>
  <c r="C14" i="24"/>
  <c r="L10" i="10"/>
  <c r="L7" i="10"/>
  <c r="L8" i="10"/>
  <c r="L11" i="10"/>
  <c r="L12" i="10"/>
  <c r="L13" i="10"/>
  <c r="L5" i="10"/>
  <c r="D38" i="12"/>
  <c r="D22" i="12"/>
  <c r="D6" i="12"/>
  <c r="I61" i="43"/>
  <c r="G61" i="43"/>
  <c r="F61" i="43"/>
  <c r="E61" i="43"/>
  <c r="D61" i="43"/>
  <c r="E27" i="21"/>
  <c r="S18" i="20"/>
  <c r="AX19" i="20"/>
  <c r="AX21" i="20"/>
  <c r="E20" i="19"/>
  <c r="C21" i="19"/>
  <c r="I41" i="16"/>
  <c r="I39" i="15"/>
  <c r="E21" i="13"/>
  <c r="C20" i="13"/>
  <c r="D44" i="12"/>
  <c r="D28" i="12"/>
  <c r="D12" i="12"/>
  <c r="E32" i="8"/>
  <c r="D32" i="8"/>
  <c r="T15" i="43"/>
  <c r="D12" i="4"/>
  <c r="E9" i="4" s="1"/>
  <c r="E11" i="24"/>
  <c r="E12" i="24"/>
  <c r="E13" i="24"/>
  <c r="E14" i="24"/>
  <c r="C11" i="24"/>
  <c r="C12" i="24"/>
  <c r="C13" i="24"/>
  <c r="E13" i="27"/>
  <c r="C13" i="27"/>
  <c r="I35" i="16"/>
  <c r="I36" i="16"/>
  <c r="I37" i="16"/>
  <c r="I38" i="16"/>
  <c r="I39" i="16"/>
  <c r="I40" i="16"/>
  <c r="D11" i="22"/>
  <c r="F15" i="35"/>
  <c r="F13" i="35"/>
  <c r="F12" i="35"/>
  <c r="F11" i="35"/>
  <c r="F14" i="35"/>
  <c r="F10" i="35"/>
  <c r="F9" i="35"/>
  <c r="F7" i="35"/>
  <c r="F8" i="35"/>
  <c r="F53" i="35"/>
  <c r="F51" i="35"/>
  <c r="F50" i="35"/>
  <c r="F46" i="35"/>
  <c r="F49" i="35"/>
  <c r="F48" i="35"/>
  <c r="F47" i="35"/>
  <c r="F45" i="35"/>
  <c r="F52" i="35"/>
  <c r="C6" i="7"/>
  <c r="B61" i="43"/>
  <c r="B12" i="20"/>
  <c r="C10" i="20" s="1"/>
  <c r="E10" i="19"/>
  <c r="B12" i="19"/>
  <c r="C9" i="19" s="1"/>
  <c r="E22" i="18"/>
  <c r="C22" i="18"/>
  <c r="E10" i="18"/>
  <c r="C9" i="18"/>
  <c r="B23" i="17"/>
  <c r="C21" i="17" s="1"/>
  <c r="D43" i="12"/>
  <c r="D27" i="12"/>
  <c r="D11" i="12"/>
  <c r="B12" i="36"/>
  <c r="E12" i="27"/>
  <c r="C12" i="27"/>
  <c r="C27" i="21"/>
  <c r="D39" i="12"/>
  <c r="D40" i="12"/>
  <c r="D41" i="12"/>
  <c r="D42" i="12"/>
  <c r="D23" i="12"/>
  <c r="D24" i="12"/>
  <c r="D25" i="12"/>
  <c r="D26" i="12"/>
  <c r="D7" i="12"/>
  <c r="D8" i="12"/>
  <c r="D9" i="12"/>
  <c r="D10" i="12"/>
  <c r="R6" i="27"/>
  <c r="R8" i="27"/>
  <c r="R9" i="27"/>
  <c r="R10" i="27"/>
  <c r="R11" i="27"/>
  <c r="R12" i="27"/>
  <c r="E6" i="27"/>
  <c r="E7" i="27"/>
  <c r="E8" i="27"/>
  <c r="E9" i="27"/>
  <c r="E10" i="27"/>
  <c r="E11" i="27"/>
  <c r="R7" i="27"/>
  <c r="P9" i="27"/>
  <c r="P10" i="27"/>
  <c r="P11" i="27"/>
  <c r="P12" i="27"/>
  <c r="C6" i="27"/>
  <c r="C7" i="27"/>
  <c r="C8" i="27"/>
  <c r="C9" i="27"/>
  <c r="C10" i="27"/>
  <c r="C11" i="27"/>
  <c r="P8" i="27"/>
  <c r="P7" i="27"/>
  <c r="P6" i="27"/>
  <c r="L8" i="24"/>
  <c r="L9" i="24"/>
  <c r="L10" i="24"/>
  <c r="L11" i="24"/>
  <c r="L12" i="24"/>
  <c r="E7" i="24"/>
  <c r="E8" i="24"/>
  <c r="E9" i="24"/>
  <c r="E10" i="24"/>
  <c r="L7" i="24"/>
  <c r="J9" i="24"/>
  <c r="J10" i="24"/>
  <c r="J11" i="24"/>
  <c r="J12" i="24"/>
  <c r="C7" i="24"/>
  <c r="C8" i="24"/>
  <c r="C9" i="24"/>
  <c r="C10" i="24"/>
  <c r="J8" i="24"/>
  <c r="J7" i="24"/>
  <c r="F6" i="30"/>
  <c r="D9" i="30"/>
  <c r="F9" i="30"/>
  <c r="D10" i="30"/>
  <c r="F10" i="30"/>
  <c r="D11" i="30"/>
  <c r="F11" i="30"/>
  <c r="D12" i="30"/>
  <c r="F12" i="30"/>
  <c r="D13" i="30"/>
  <c r="F13" i="30"/>
  <c r="D14" i="30"/>
  <c r="F14" i="30"/>
  <c r="D15" i="30"/>
  <c r="F15" i="30"/>
  <c r="D16" i="30"/>
  <c r="F16" i="30"/>
  <c r="H8" i="28"/>
  <c r="F10" i="28"/>
  <c r="H10" i="28"/>
  <c r="F12" i="28"/>
  <c r="H12" i="28"/>
  <c r="F13" i="28"/>
  <c r="H13" i="28"/>
  <c r="F14" i="28"/>
  <c r="H14" i="28"/>
  <c r="F15" i="28"/>
  <c r="H15" i="28"/>
  <c r="F16" i="28"/>
  <c r="H16" i="28"/>
  <c r="F17" i="28"/>
  <c r="H17" i="28"/>
  <c r="F19" i="28"/>
  <c r="H19" i="28"/>
  <c r="F21" i="28"/>
  <c r="H21" i="28"/>
  <c r="F23" i="28"/>
  <c r="H23" i="28"/>
  <c r="F25" i="28"/>
  <c r="H25" i="28"/>
  <c r="F26" i="28"/>
  <c r="H26" i="28"/>
  <c r="F27" i="28"/>
  <c r="H27" i="28"/>
  <c r="H26" i="27"/>
  <c r="H28" i="27"/>
  <c r="H30" i="27"/>
  <c r="H31" i="27"/>
  <c r="H32" i="27"/>
  <c r="H34" i="27"/>
  <c r="H36" i="27"/>
  <c r="H37" i="27"/>
  <c r="H38" i="27"/>
  <c r="H39" i="27"/>
  <c r="H40" i="27"/>
  <c r="H41" i="27"/>
  <c r="H31" i="9"/>
  <c r="G6" i="7"/>
  <c r="D6" i="7"/>
  <c r="B20" i="42"/>
  <c r="F20" i="42"/>
  <c r="C27" i="13"/>
  <c r="D9" i="22"/>
  <c r="D13" i="22"/>
  <c r="C21" i="13"/>
  <c r="C25" i="13"/>
  <c r="C24" i="13"/>
  <c r="C23" i="13"/>
  <c r="C26" i="13"/>
  <c r="C22" i="13"/>
  <c r="F6" i="7"/>
  <c r="E6" i="7"/>
  <c r="S22" i="20" l="1"/>
  <c r="E12" i="13"/>
  <c r="E11" i="13"/>
  <c r="E6" i="13"/>
  <c r="E10" i="13"/>
  <c r="E7" i="13"/>
  <c r="E8" i="13"/>
  <c r="S30" i="20"/>
  <c r="I15" i="21"/>
  <c r="K15" i="21" s="1"/>
  <c r="E30" i="38"/>
  <c r="E37" i="38"/>
  <c r="E35" i="38"/>
  <c r="E33" i="38"/>
  <c r="E31" i="38"/>
  <c r="E38" i="38"/>
  <c r="E36" i="38"/>
  <c r="E34" i="38"/>
  <c r="C23" i="18"/>
  <c r="C21" i="18"/>
  <c r="C7" i="13"/>
  <c r="C6" i="13"/>
  <c r="E8" i="4"/>
  <c r="E7" i="4"/>
  <c r="E6" i="4"/>
  <c r="C38" i="38"/>
  <c r="C34" i="38"/>
  <c r="C36" i="38"/>
  <c r="C32" i="38"/>
  <c r="C37" i="38"/>
  <c r="C35" i="38"/>
  <c r="C33" i="38"/>
  <c r="C31" i="38"/>
  <c r="G30" i="38"/>
  <c r="G38" i="38"/>
  <c r="G35" i="38"/>
  <c r="G34" i="38"/>
  <c r="G37" i="38"/>
  <c r="G32" i="38"/>
  <c r="G33" i="38"/>
  <c r="G36" i="38"/>
  <c r="D10" i="22"/>
  <c r="D16" i="22"/>
  <c r="D14" i="22"/>
  <c r="D12" i="22"/>
  <c r="D7" i="22"/>
  <c r="D15" i="22"/>
  <c r="D8" i="22"/>
  <c r="E9" i="20"/>
  <c r="E8" i="20"/>
  <c r="C9" i="20"/>
  <c r="C8" i="20"/>
  <c r="I22" i="20"/>
  <c r="I19" i="20"/>
  <c r="I20" i="20"/>
  <c r="E22" i="19"/>
  <c r="E21" i="19"/>
  <c r="C20" i="19"/>
  <c r="C22" i="19"/>
  <c r="E9" i="19"/>
  <c r="E8" i="19"/>
  <c r="E11" i="19"/>
  <c r="C8" i="19"/>
  <c r="C11" i="19"/>
  <c r="C10" i="19"/>
  <c r="E21" i="18"/>
  <c r="E20" i="18"/>
  <c r="E23" i="18"/>
  <c r="C20" i="18"/>
  <c r="E9" i="18"/>
  <c r="E8" i="18"/>
  <c r="E11" i="18"/>
  <c r="C8" i="18"/>
  <c r="C11" i="18"/>
  <c r="C10" i="18"/>
  <c r="E19" i="17"/>
  <c r="E22" i="17"/>
  <c r="E21" i="17"/>
  <c r="C22" i="17"/>
  <c r="C20" i="17"/>
  <c r="C19" i="17"/>
  <c r="E11" i="17"/>
  <c r="E9" i="17"/>
  <c r="E8" i="17"/>
  <c r="C11" i="17"/>
  <c r="C9" i="17"/>
  <c r="C8" i="17"/>
  <c r="I38" i="15"/>
  <c r="I33" i="15"/>
  <c r="I37" i="15"/>
  <c r="I34" i="15"/>
  <c r="I36" i="15"/>
  <c r="I35" i="15"/>
  <c r="E24" i="13"/>
  <c r="E20" i="13"/>
  <c r="E25" i="13"/>
  <c r="E22" i="13"/>
  <c r="E26" i="13"/>
  <c r="E23" i="13"/>
  <c r="C13" i="13"/>
  <c r="C10" i="13"/>
  <c r="C11" i="13"/>
  <c r="C12" i="13"/>
  <c r="C8" i="13"/>
  <c r="H6" i="7"/>
  <c r="E10" i="4"/>
  <c r="E5" i="4"/>
  <c r="E11" i="4"/>
  <c r="C24" i="18" l="1"/>
  <c r="E13" i="13"/>
  <c r="C12" i="19"/>
  <c r="C12" i="20"/>
  <c r="C24" i="19"/>
  <c r="E24" i="18"/>
  <c r="E12" i="18"/>
  <c r="C12" i="18"/>
  <c r="E23" i="17"/>
  <c r="C23" i="17"/>
  <c r="E12" i="17"/>
  <c r="C12" i="17"/>
  <c r="E27" i="13"/>
  <c r="E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Feurstein Elisabeth, WKV WP</author>
  </authors>
  <commentList>
    <comment ref="AC19" authorId="0" shapeId="0" xr:uid="{00000000-0006-0000-0800-000001000000}">
      <text>
        <r>
          <rPr>
            <b/>
            <sz val="9"/>
            <color indexed="81"/>
            <rFont val="Segoe UI"/>
            <family val="2"/>
          </rPr>
          <t>neue LT-Wahlen am 13.10.2019</t>
        </r>
      </text>
    </comment>
  </commentList>
</comments>
</file>

<file path=xl/sharedStrings.xml><?xml version="1.0" encoding="utf-8"?>
<sst xmlns="http://schemas.openxmlformats.org/spreadsheetml/2006/main" count="1410" uniqueCount="752">
  <si>
    <t xml:space="preserve"> </t>
  </si>
  <si>
    <t>Angabe der Quelle gestattet.</t>
  </si>
  <si>
    <t>LANDESFLÄCHE</t>
  </si>
  <si>
    <t>Hektar</t>
  </si>
  <si>
    <t xml:space="preserve">            %       </t>
  </si>
  <si>
    <t>Gewässer</t>
  </si>
  <si>
    <t>Landwirtschaftlich genutzt</t>
  </si>
  <si>
    <t>Sonstige</t>
  </si>
  <si>
    <t>Wald</t>
  </si>
  <si>
    <t>Weingarten</t>
  </si>
  <si>
    <t>Landesfläche</t>
  </si>
  <si>
    <t>Nutzung der Landesfläche Vorarlbergs</t>
  </si>
  <si>
    <t>Alpen</t>
  </si>
  <si>
    <t>Landwirt. Genutzt</t>
  </si>
  <si>
    <t>Quelle: Land Vorarlberg</t>
  </si>
  <si>
    <t>Kurzprofil Vorarlberg</t>
  </si>
  <si>
    <t>Fläche (km²)</t>
  </si>
  <si>
    <t>davon Land</t>
  </si>
  <si>
    <t>Anzahl Gemeinden</t>
  </si>
  <si>
    <t>davon Städte</t>
  </si>
  <si>
    <t>davon Marktgemeinden</t>
  </si>
  <si>
    <t>Arbeitsmarkt</t>
  </si>
  <si>
    <t>Arbeitslose</t>
  </si>
  <si>
    <t>Wirtschaftsstruktur</t>
  </si>
  <si>
    <t>BEVÖLKERUNG</t>
  </si>
  <si>
    <t>Vorarlberg</t>
  </si>
  <si>
    <t>Bezirk Bregenz</t>
  </si>
  <si>
    <t>Bezirk Dornbirn</t>
  </si>
  <si>
    <t>Bezirk Feldkirch</t>
  </si>
  <si>
    <t>Bezirk Bludenz</t>
  </si>
  <si>
    <t>Die 12 größten Gemeinden nach der Einwohnerzahl mit Hauptwohnsitz</t>
  </si>
  <si>
    <t>Dornbirn</t>
  </si>
  <si>
    <t>Hard</t>
  </si>
  <si>
    <t>Feldkirch</t>
  </si>
  <si>
    <t>Rankweil</t>
  </si>
  <si>
    <t>Bregenz</t>
  </si>
  <si>
    <t>Götzis</t>
  </si>
  <si>
    <t>Lustenau</t>
  </si>
  <si>
    <t>Lauterach</t>
  </si>
  <si>
    <t>Hohenems</t>
  </si>
  <si>
    <t>Wolfurt</t>
  </si>
  <si>
    <t>Bludenz</t>
  </si>
  <si>
    <t>Höchst</t>
  </si>
  <si>
    <t>Männer</t>
  </si>
  <si>
    <t>Frauen</t>
  </si>
  <si>
    <t>CH</t>
  </si>
  <si>
    <t>FL</t>
  </si>
  <si>
    <t>Gesamt</t>
  </si>
  <si>
    <t>30-44 Jahre</t>
  </si>
  <si>
    <t>45-59 Jahre</t>
  </si>
  <si>
    <t>Bevölkerung</t>
  </si>
  <si>
    <t>Schüler/</t>
  </si>
  <si>
    <t>Studenten</t>
  </si>
  <si>
    <t xml:space="preserve">Allgemein bildende Pflichtschulen </t>
  </si>
  <si>
    <t>Volksschulen</t>
  </si>
  <si>
    <t>Sonderschulen</t>
  </si>
  <si>
    <t>Polytechnische Schulen</t>
  </si>
  <si>
    <t>Berufsbildende Pflichtschulen</t>
  </si>
  <si>
    <t>Handelsschulen</t>
  </si>
  <si>
    <t>FS für wirtsch. Berufe (inkl.Tourismus)</t>
  </si>
  <si>
    <t>Allgemein bildende höhere Schulen</t>
  </si>
  <si>
    <t>Handelsakademien</t>
  </si>
  <si>
    <t>HTL</t>
  </si>
  <si>
    <t>Höhere Lehranstalt f. wirtsch. Berufe</t>
  </si>
  <si>
    <t>Fachhochschule</t>
  </si>
  <si>
    <t>Schulen des Gesundheitswesens</t>
  </si>
  <si>
    <t xml:space="preserve">  bei Volksschulen Schüler der 4. und der  8. Klasse </t>
  </si>
  <si>
    <t>Private Haushalte:</t>
  </si>
  <si>
    <t>Österreich</t>
  </si>
  <si>
    <t>Haushalte insgesamt</t>
  </si>
  <si>
    <t>davon mit ….</t>
  </si>
  <si>
    <t>1 Person</t>
  </si>
  <si>
    <t>2 Personen</t>
  </si>
  <si>
    <t>3 Personen</t>
  </si>
  <si>
    <t>4 Personen</t>
  </si>
  <si>
    <t>5 und mehr Personen</t>
  </si>
  <si>
    <t>durchschnittl. Haushaltsgröße</t>
  </si>
  <si>
    <t>Wahlergebnisse Vorarlberg</t>
  </si>
  <si>
    <t xml:space="preserve">gültige Stimmen </t>
  </si>
  <si>
    <t>Wahlbez.</t>
  </si>
  <si>
    <t>gesamt</t>
  </si>
  <si>
    <t>ÖVP</t>
  </si>
  <si>
    <t>SPÖ</t>
  </si>
  <si>
    <t>FPÖ</t>
  </si>
  <si>
    <t>Grüne</t>
  </si>
  <si>
    <t>and.</t>
  </si>
  <si>
    <t>Gesamtarbeitskosten in der Sachgütererzeugung:</t>
  </si>
  <si>
    <t>Veränderungen in % geg. Vorjahr</t>
  </si>
  <si>
    <t>Baukosten (Wohnhausbau)</t>
  </si>
  <si>
    <t>Baupreise (Wohnhausbau)</t>
  </si>
  <si>
    <t>VPI</t>
  </si>
  <si>
    <t>Baukosten</t>
  </si>
  <si>
    <t>Baupreise</t>
  </si>
  <si>
    <t>Entwicklung der Preisindices</t>
  </si>
  <si>
    <t>Quelle: Land Vorarlberg, Statistik Austria</t>
  </si>
  <si>
    <t>STEUERN, ABGABEN, BUDGET</t>
  </si>
  <si>
    <t>Dienstgeberbeiträge zum Familienausgleichsfonds</t>
  </si>
  <si>
    <t>(in Mio €)</t>
  </si>
  <si>
    <t>DG+DN-Anteil (in Mio €)</t>
  </si>
  <si>
    <t>Ausgaben</t>
  </si>
  <si>
    <t>Wirtschaftsförderung ges.</t>
  </si>
  <si>
    <t>BETRIEBE UND BESCHÄFTIGTE</t>
  </si>
  <si>
    <t>Kammermitglieder</t>
  </si>
  <si>
    <t>insgesamt</t>
  </si>
  <si>
    <t>davon ruhend</t>
  </si>
  <si>
    <t>%</t>
  </si>
  <si>
    <t>aktiv</t>
  </si>
  <si>
    <t>Spartenmitglieder</t>
  </si>
  <si>
    <t>Fachgruppenmitglieder</t>
  </si>
  <si>
    <t>Quelle: WKO</t>
  </si>
  <si>
    <t>Gewerbe und Handwerk</t>
  </si>
  <si>
    <t>Industrie</t>
  </si>
  <si>
    <t>Handel</t>
  </si>
  <si>
    <t>Bank und Versicherung</t>
  </si>
  <si>
    <t>Transport und Verkehr</t>
  </si>
  <si>
    <t>Tourismus und Freizeitwirtschaft</t>
  </si>
  <si>
    <t>Information und Consulting</t>
  </si>
  <si>
    <t>Gewerbl. Wirtschaft</t>
  </si>
  <si>
    <t>Bank u. Versicherung</t>
  </si>
  <si>
    <t>Transport u. Verkehr</t>
  </si>
  <si>
    <t>Verkehr</t>
  </si>
  <si>
    <t>BETRIEBE und  BESCHÄFTIGTE</t>
  </si>
  <si>
    <t>gewerbliche Wirtschaft Vorarlberg</t>
  </si>
  <si>
    <t xml:space="preserve">                                 </t>
  </si>
  <si>
    <t>Spartenübersicht</t>
  </si>
  <si>
    <t>Beschäftigte</t>
  </si>
  <si>
    <t>Jahresdurchschnitt</t>
  </si>
  <si>
    <t xml:space="preserve">Arbeitsstätten </t>
  </si>
  <si>
    <t>Banken und Versicherung</t>
  </si>
  <si>
    <t>Tourismus, Freizeitwirts.</t>
  </si>
  <si>
    <t>Inform. und Consulting</t>
  </si>
  <si>
    <t>Angestellte</t>
  </si>
  <si>
    <t>Arbeiter</t>
  </si>
  <si>
    <t>Quelle: WKO, WKV</t>
  </si>
  <si>
    <t>Gewerbe</t>
  </si>
  <si>
    <t>Information u. Consulting</t>
  </si>
  <si>
    <t>Touismus</t>
  </si>
  <si>
    <t>Betriebe</t>
  </si>
  <si>
    <t>1-9 Beschäftigte</t>
  </si>
  <si>
    <t>10-49 Beschäftigte</t>
  </si>
  <si>
    <t>50-249 Beschäftigte</t>
  </si>
  <si>
    <t>250 u. mehr Beschäftigte</t>
  </si>
  <si>
    <t>BERTRIEBE UND BESCHÄFTIGTE</t>
  </si>
  <si>
    <t>Sparte Gewerbe und Handwerk</t>
  </si>
  <si>
    <t>Größenklassen</t>
  </si>
  <si>
    <t>Sparte Industrie</t>
  </si>
  <si>
    <t>Sparte Handel</t>
  </si>
  <si>
    <t>Sparte Bank und Versicherung</t>
  </si>
  <si>
    <t>Sparte Transport u. Verkehr</t>
  </si>
  <si>
    <t>G. u. H.</t>
  </si>
  <si>
    <t>Ind.</t>
  </si>
  <si>
    <t>B. u.V.</t>
  </si>
  <si>
    <t>Tour.</t>
  </si>
  <si>
    <t>Inf.u.C.</t>
  </si>
  <si>
    <t>Rheintal</t>
  </si>
  <si>
    <t>Walgau</t>
  </si>
  <si>
    <t>Bregenzerwald</t>
  </si>
  <si>
    <t>Montafon</t>
  </si>
  <si>
    <t>Großes Walsertal</t>
  </si>
  <si>
    <t>Kleinwalsertal</t>
  </si>
  <si>
    <t xml:space="preserve">Vorarlberg </t>
  </si>
  <si>
    <t>nicht protokollierter Einzelunternehmer</t>
  </si>
  <si>
    <t>Einzelunternehmer</t>
  </si>
  <si>
    <t>Kommanditgesellschaft (KG)</t>
  </si>
  <si>
    <t>GesmbH</t>
  </si>
  <si>
    <t>Offene Gesellschaft</t>
  </si>
  <si>
    <t>Aktiengesellschaft (AG)</t>
  </si>
  <si>
    <t>Gebietskörperschaft</t>
  </si>
  <si>
    <t>Verein</t>
  </si>
  <si>
    <t>Erwerbs- u. Wirt.genossenschaften</t>
  </si>
  <si>
    <t>Sonst. Rechtsform</t>
  </si>
  <si>
    <t>Jahr</t>
  </si>
  <si>
    <t>Neugründer
gesamt</t>
  </si>
  <si>
    <t>davon 
Sonstige</t>
  </si>
  <si>
    <t>männlich</t>
  </si>
  <si>
    <t xml:space="preserve">weiblich </t>
  </si>
  <si>
    <t>Sparten</t>
  </si>
  <si>
    <t>in %</t>
  </si>
  <si>
    <t>Gew. u. Handwerk</t>
  </si>
  <si>
    <t>Bank u. Vers.</t>
  </si>
  <si>
    <t>Tourism. U. Freizeit.</t>
  </si>
  <si>
    <t>Inform. u. Consulting</t>
  </si>
  <si>
    <t>PRODUKTION</t>
  </si>
  <si>
    <t>Bauwesen</t>
  </si>
  <si>
    <t>Wien</t>
  </si>
  <si>
    <t>Tirol</t>
  </si>
  <si>
    <t>Kärnten</t>
  </si>
  <si>
    <t>Salzburg</t>
  </si>
  <si>
    <t>Oberösterr.</t>
  </si>
  <si>
    <t>Niederösterr.</t>
  </si>
  <si>
    <t>Steiermark</t>
  </si>
  <si>
    <t>Burgenland</t>
  </si>
  <si>
    <t>Quelle: Statistik Austria</t>
  </si>
  <si>
    <t>Nahrungsmittel, Getränke</t>
  </si>
  <si>
    <t>Holzverarbeitung</t>
  </si>
  <si>
    <t>Metallerzeugnisse</t>
  </si>
  <si>
    <t>Maschinenbau</t>
  </si>
  <si>
    <t>Oberösterreich</t>
  </si>
  <si>
    <t>Niederösterreich</t>
  </si>
  <si>
    <t xml:space="preserve">Wien </t>
  </si>
  <si>
    <t xml:space="preserve">davon: </t>
  </si>
  <si>
    <t>Textil, Bekleidung</t>
  </si>
  <si>
    <t>Papier- u. Papierverarb.</t>
  </si>
  <si>
    <t>Chem. Industrie</t>
  </si>
  <si>
    <t>Elektro</t>
  </si>
  <si>
    <t>Nahrungsmittel</t>
  </si>
  <si>
    <t>Hochbau</t>
  </si>
  <si>
    <t>Tiefbau</t>
  </si>
  <si>
    <t>(ohne Hoch-u.Tiefbau mit Baunebengew.)</t>
  </si>
  <si>
    <t>HANDEL</t>
  </si>
  <si>
    <t>davon:</t>
  </si>
  <si>
    <t>Lebensmittel und Getränke (inkl. Rest)</t>
  </si>
  <si>
    <t>Bekleidung und Schuhe</t>
  </si>
  <si>
    <t>Wohnen, Energie</t>
  </si>
  <si>
    <t>Wohnungsausstattung</t>
  </si>
  <si>
    <t>Gesundheit</t>
  </si>
  <si>
    <t>Schweiz</t>
  </si>
  <si>
    <t>Deutschland</t>
  </si>
  <si>
    <t>Liechtenstein</t>
  </si>
  <si>
    <t>Bludenz/Bürs</t>
  </si>
  <si>
    <t>TOURIMUS</t>
  </si>
  <si>
    <t>Alpenregion Bludenz</t>
  </si>
  <si>
    <t>Arlberg</t>
  </si>
  <si>
    <t>Bodensee-Vorarlberg</t>
  </si>
  <si>
    <t>Schweiz, Liechtenstein</t>
  </si>
  <si>
    <t>Niederlande</t>
  </si>
  <si>
    <t>Mittelberg</t>
  </si>
  <si>
    <t>Lech</t>
  </si>
  <si>
    <t>St. Gallenkirch</t>
  </si>
  <si>
    <t>Gaschurn</t>
  </si>
  <si>
    <t>Schruns</t>
  </si>
  <si>
    <t>Tschagguns</t>
  </si>
  <si>
    <t>Damüls</t>
  </si>
  <si>
    <t>Brand</t>
  </si>
  <si>
    <t>VERKEHR</t>
  </si>
  <si>
    <t xml:space="preserve"> Kraftfahrzeugbestand in Vorarlberg</t>
  </si>
  <si>
    <t>PKW</t>
  </si>
  <si>
    <t>Quelle: Land Vorarlberg, Bundessparte Transport und Verkehr</t>
  </si>
  <si>
    <t>Wirtschaftskennzahlen</t>
  </si>
  <si>
    <t>Betriebe und Beschäftigte</t>
  </si>
  <si>
    <t>Allgemeine Daten</t>
  </si>
  <si>
    <t>Asien</t>
  </si>
  <si>
    <t>EXPORTE</t>
  </si>
  <si>
    <t>EFTA</t>
  </si>
  <si>
    <t>ENERGIE</t>
  </si>
  <si>
    <t>Energieverbrauch nach Energieträgern (in Mio KWh=GWh)</t>
  </si>
  <si>
    <t>Erdgas</t>
  </si>
  <si>
    <t>Einfuhr</t>
  </si>
  <si>
    <t>Ausfuhr</t>
  </si>
  <si>
    <t>Landwirtschaft</t>
  </si>
  <si>
    <t>Gesamtaufbringung</t>
  </si>
  <si>
    <t>Verwendung</t>
  </si>
  <si>
    <t>Verbrauch ohne 
Pumpspeicherung</t>
  </si>
  <si>
    <t xml:space="preserve">Pumpenenergie
</t>
  </si>
  <si>
    <t>Insgesamt</t>
  </si>
  <si>
    <t>Quelle: Statistik Austria, Land Vorarlberg</t>
  </si>
  <si>
    <t>Verbraucherpreisindex</t>
  </si>
  <si>
    <t>BESCHÄFTIGTE in der gewerbl. Wirtschaft - Entwicklung nach Sparten</t>
  </si>
  <si>
    <t>Lehrlinge in der gewerblichen Wirtschaft</t>
  </si>
  <si>
    <t>Exporte nach Warenobergruppen</t>
  </si>
  <si>
    <t>Warenobergruppen</t>
  </si>
  <si>
    <t>In Mio. Euro</t>
  </si>
  <si>
    <t>Nahrungs- u. Genussmittel</t>
  </si>
  <si>
    <t>Chem. u. Pha. Produkte, Kunststoff</t>
  </si>
  <si>
    <t>Papier u. Papierwaren</t>
  </si>
  <si>
    <t>Eisen u. Metallwaren</t>
  </si>
  <si>
    <t>Kessel, Maschinen, Apparate</t>
  </si>
  <si>
    <t>El. Masch., Apparate u. el. Waren</t>
  </si>
  <si>
    <t>Fahrzeuge</t>
  </si>
  <si>
    <t>Opt. u. fotog. Geräte, Musik</t>
  </si>
  <si>
    <t>Möbel, Bettwaren, Beleuchtung</t>
  </si>
  <si>
    <t>Sonstige Waren</t>
  </si>
  <si>
    <t>Exporte nach ausgewählten Bestimmungsländern</t>
  </si>
  <si>
    <t>Bestimmungsland</t>
  </si>
  <si>
    <t>Italien</t>
  </si>
  <si>
    <t>China</t>
  </si>
  <si>
    <t>Frankreich</t>
  </si>
  <si>
    <t>Vereinigtes Königreich</t>
  </si>
  <si>
    <t>Vereinigte Staaten</t>
  </si>
  <si>
    <t>Polen</t>
  </si>
  <si>
    <t>Tschechische Republik</t>
  </si>
  <si>
    <t>Russische Föderation</t>
  </si>
  <si>
    <t>Andere Staaten</t>
  </si>
  <si>
    <t>Außenhandel</t>
  </si>
  <si>
    <t>Einfuhr- /Ausfuhr-Saldo</t>
  </si>
  <si>
    <t>in Mio. Euro</t>
  </si>
  <si>
    <t>USA u.
Kanada</t>
  </si>
  <si>
    <t>Andere
Länder</t>
  </si>
  <si>
    <t>ENTWICKLUNG DES AUSSENHANDELS in Mio. Euro</t>
  </si>
  <si>
    <t>Au</t>
  </si>
  <si>
    <t>Klösterle</t>
  </si>
  <si>
    <t>Warth</t>
  </si>
  <si>
    <t>Frankreich, Monaco</t>
  </si>
  <si>
    <t>Tourismus und Freizeitw.</t>
  </si>
  <si>
    <t>Gewerbeproduktion in Vlbg. (Umsätze in Mio. €)</t>
  </si>
  <si>
    <t>inklusive</t>
  </si>
  <si>
    <t>davon Landwirtschaft</t>
  </si>
  <si>
    <t>Unselbständig Beschäftigte, Anteile nach Sparten</t>
  </si>
  <si>
    <t>Einwohner mit Hauptwohnsitz</t>
  </si>
  <si>
    <t xml:space="preserve">Tirol </t>
  </si>
  <si>
    <t>Chemie,Holz,Papier</t>
  </si>
  <si>
    <t>Großbetriebe    250  u.m.B.</t>
  </si>
  <si>
    <t>Kleinbetriebe     10 -  49  Besch.</t>
  </si>
  <si>
    <t>Mittelbetriebe   50 -  249 Besch.</t>
  </si>
  <si>
    <t>Kleinstbetriebe  1   -  9 Besch.</t>
  </si>
  <si>
    <t>Arbeitgeberbetriebe</t>
  </si>
  <si>
    <t>Arlberg/Klostertal</t>
  </si>
  <si>
    <t>Ankünfte und Nächtigungen nach Regionen</t>
  </si>
  <si>
    <t>Tourismusgemeinden nach Zahl der Ankünfte und Nächtigungen</t>
  </si>
  <si>
    <t>vorgemerkte  Arbeitslose</t>
  </si>
  <si>
    <t>Quote</t>
  </si>
  <si>
    <t>15-19 Jahre</t>
  </si>
  <si>
    <t>20-29 Jahre</t>
  </si>
  <si>
    <t>60 und mehr</t>
  </si>
  <si>
    <t>aktive Mitglieder</t>
  </si>
  <si>
    <t>SPARTE</t>
  </si>
  <si>
    <t>FACHGRUPPE</t>
  </si>
  <si>
    <t xml:space="preserve">% </t>
  </si>
  <si>
    <t>aktive 
Mitglieder</t>
  </si>
  <si>
    <t>Mitglieder</t>
  </si>
  <si>
    <t>NEOS</t>
  </si>
  <si>
    <t>Baufläche und Garten</t>
  </si>
  <si>
    <t>Baufläche u. Garten</t>
  </si>
  <si>
    <r>
      <t>Land Vorarlberg</t>
    </r>
    <r>
      <rPr>
        <b/>
        <sz val="11"/>
        <color rgb="FFFF0000"/>
        <rFont val="Calibri"/>
        <family val="2"/>
      </rPr>
      <t xml:space="preserve"> </t>
    </r>
  </si>
  <si>
    <t>Motorräder gesamt</t>
  </si>
  <si>
    <t>Zugmaschinen</t>
  </si>
  <si>
    <t>Öffentliche Verwaltung</t>
  </si>
  <si>
    <t>Land- und Forstwirtschaft</t>
  </si>
  <si>
    <t>Produktion</t>
  </si>
  <si>
    <t>Hotel- und Gastgewerbe</t>
  </si>
  <si>
    <t>Verbände</t>
  </si>
  <si>
    <t>Unselbstständige</t>
  </si>
  <si>
    <t xml:space="preserve">   Tourismus</t>
  </si>
  <si>
    <t xml:space="preserve">   Handel, Gewerbe, Industrie</t>
  </si>
  <si>
    <t>Quelle: Statistik Austria, WKO Statistik</t>
  </si>
  <si>
    <t>Grundstücks- und Wohnungswesen</t>
  </si>
  <si>
    <t>Information und Kommunikation</t>
  </si>
  <si>
    <t>Beherbergung und Gastronomie</t>
  </si>
  <si>
    <t>Verkehr und Lagerei</t>
  </si>
  <si>
    <t>Handel, Instandhaltung, Reparatur von KFZ</t>
  </si>
  <si>
    <t>Tertiärsektor</t>
  </si>
  <si>
    <t>Energie und Wasser</t>
  </si>
  <si>
    <t>Herstellung von Waren</t>
  </si>
  <si>
    <t>Sekundärsektor</t>
  </si>
  <si>
    <t>Primärsektor</t>
  </si>
  <si>
    <t>Anteil Vbg/Österreich</t>
  </si>
  <si>
    <t>Anteil Vbg.</t>
  </si>
  <si>
    <t xml:space="preserve">  </t>
  </si>
  <si>
    <t>in % z. Vj.</t>
  </si>
  <si>
    <t>Reale Bruttowertschöpfung zu Vorjahrespreisen</t>
  </si>
  <si>
    <t>Quelle: WIFO-Berechnungen</t>
  </si>
  <si>
    <t>OÖ</t>
  </si>
  <si>
    <t xml:space="preserve"> NÖ</t>
  </si>
  <si>
    <t>Jahr 2013</t>
  </si>
  <si>
    <t>Jahr 2012</t>
  </si>
  <si>
    <t>Bundesland</t>
  </si>
  <si>
    <t>Bruttowertschöpfung; Veränderung gegen das Vorjahr in %</t>
  </si>
  <si>
    <t>Vorbereitende Baustellenarbeiten</t>
  </si>
  <si>
    <t>Bau</t>
  </si>
  <si>
    <t xml:space="preserve">Wasserversorgung, Abwasserentsorgung </t>
  </si>
  <si>
    <t>Energieversorgung</t>
  </si>
  <si>
    <t>Elektrische Ausrüstungen</t>
  </si>
  <si>
    <t>Papier und Pappe</t>
  </si>
  <si>
    <t>Getränkeherstellung</t>
  </si>
  <si>
    <t>Herstellung von Waren (inkl. Bergbau)</t>
  </si>
  <si>
    <t>Produzierender Bereich</t>
  </si>
  <si>
    <t>Anteil Vbg./Österreich</t>
  </si>
  <si>
    <t>Industrieproduktionswert je Einwohner</t>
  </si>
  <si>
    <t>Nahrunsgmittel</t>
  </si>
  <si>
    <t>Ma, Metallw.</t>
  </si>
  <si>
    <t>Gas- u. Wärmeversorungsunternehmen</t>
  </si>
  <si>
    <t>Anteil Vbg</t>
  </si>
  <si>
    <t>Quelle: RegioData Research GmbH</t>
  </si>
  <si>
    <t>Kumulierte Umsatzveränderungen Einzelhandel in % zum Vorjahr</t>
  </si>
  <si>
    <t>privat</t>
  </si>
  <si>
    <t>gemeinnützig</t>
  </si>
  <si>
    <t>wohnungen</t>
  </si>
  <si>
    <t>häuser</t>
  </si>
  <si>
    <t>Mietwohnungen</t>
  </si>
  <si>
    <t>Eigentums-</t>
  </si>
  <si>
    <t>Doppel/Reihen-</t>
  </si>
  <si>
    <t>Eigenheime</t>
  </si>
  <si>
    <t>Wohnungen</t>
  </si>
  <si>
    <t>Neubauwohnungen</t>
  </si>
  <si>
    <t xml:space="preserve">Wohnbautätigkeit - Entwicklung der Wohnbauförderung </t>
  </si>
  <si>
    <t xml:space="preserve">Einwohner mit Hauptwohnsitz nach der Gemeindegröße </t>
  </si>
  <si>
    <t>Gemeinde nach 
Einwohnerzahl</t>
  </si>
  <si>
    <t>Anzahl</t>
  </si>
  <si>
    <t>bis 500</t>
  </si>
  <si>
    <t>500 bis u. 1.000</t>
  </si>
  <si>
    <t>1.000 bis u. 2.500</t>
  </si>
  <si>
    <t>2.500 bis u. 5.000</t>
  </si>
  <si>
    <t>5.000 bis u. 10.000</t>
  </si>
  <si>
    <t>10.000 bis u. 20.000</t>
  </si>
  <si>
    <t>20.000 und mehr</t>
  </si>
  <si>
    <t>Anteil d.Sparte in %</t>
  </si>
  <si>
    <t>Sachgüterproduktionswert je Einwohner</t>
  </si>
  <si>
    <t>nach Bundesländern in Euro</t>
  </si>
  <si>
    <t xml:space="preserve">Kärnten </t>
  </si>
  <si>
    <r>
      <t xml:space="preserve">Industriebeschäftigte nach Bundesländern </t>
    </r>
    <r>
      <rPr>
        <b/>
        <vertAlign val="superscript"/>
        <sz val="12"/>
        <color theme="1"/>
        <rFont val="Calibri"/>
        <family val="2"/>
        <scheme val="minor"/>
      </rPr>
      <t>1)</t>
    </r>
  </si>
  <si>
    <r>
      <rPr>
        <vertAlign val="superscript"/>
        <sz val="11"/>
        <color theme="1"/>
        <rFont val="Calibri"/>
        <family val="2"/>
        <scheme val="minor"/>
      </rPr>
      <t>1)</t>
    </r>
    <r>
      <rPr>
        <sz val="11"/>
        <color theme="1"/>
        <rFont val="Calibri"/>
        <family val="2"/>
        <scheme val="minor"/>
      </rPr>
      <t xml:space="preserve"> Ergebnisse der "Konjunkturstatistik im Produzierenen Bereich</t>
    </r>
  </si>
  <si>
    <r>
      <rPr>
        <vertAlign val="superscript"/>
        <sz val="11"/>
        <color theme="1"/>
        <rFont val="Calibri"/>
        <family val="2"/>
        <scheme val="minor"/>
      </rPr>
      <t>2)</t>
    </r>
    <r>
      <rPr>
        <sz val="11"/>
        <color theme="1"/>
        <rFont val="Calibri"/>
        <family val="2"/>
        <scheme val="minor"/>
      </rPr>
      <t xml:space="preserve"> Industrie gemäß Kammersystematik; ohne Bauwirtschaft; 2013</t>
    </r>
  </si>
  <si>
    <r>
      <t>Zahl der Beschäftigten²</t>
    </r>
    <r>
      <rPr>
        <vertAlign val="superscript"/>
        <sz val="11"/>
        <color theme="1"/>
        <rFont val="Calibri"/>
        <family val="2"/>
        <scheme val="minor"/>
      </rPr>
      <t>)</t>
    </r>
  </si>
  <si>
    <t>Veränderung in %</t>
  </si>
  <si>
    <t>ARBEITSKOSTEN, PREISINDICES</t>
  </si>
  <si>
    <t>Ind.Besch/1000 EW</t>
  </si>
  <si>
    <t>Quelle: Land Vorarlberg, Vorarlberger Energienetz GmbH</t>
  </si>
  <si>
    <t>BRUTTOREGIONALPRODUKT</t>
  </si>
  <si>
    <t>Bruttoregionalprodukt Vorarlberg (BRP V) / Bruttoinlandsprodukt Österreich (BIP A) in Mrd. €</t>
  </si>
  <si>
    <t>BRP V</t>
  </si>
  <si>
    <t>BIP A</t>
  </si>
  <si>
    <t>Ver.in % z. Vj</t>
  </si>
  <si>
    <t>Ver. in % z. Vj</t>
  </si>
  <si>
    <t>Bruttowertschöpfung zu Herstellerpreisen (nominell in Mio EUR)</t>
  </si>
  <si>
    <t>Fertiggestellte neue Wohngebäude</t>
  </si>
  <si>
    <t>Bewilligte Wohnungen in neuen Wohngebäuden</t>
  </si>
  <si>
    <t>mit 1 oder mehr Wohnungen</t>
  </si>
  <si>
    <t>(ohne Bauind.)</t>
  </si>
  <si>
    <t>Index 2010 = 100</t>
  </si>
  <si>
    <t>(Jahresdurchschnitt)</t>
  </si>
  <si>
    <t>Erwerbstätige nach Altersgruppen</t>
  </si>
  <si>
    <t>Zahl</t>
  </si>
  <si>
    <t>Abteilung Wirtschaftspolitik und Statistisches Referat</t>
  </si>
  <si>
    <t>Seilbahnen</t>
  </si>
  <si>
    <t>Sessellifte</t>
  </si>
  <si>
    <t>Zusammenfassung Vorarlberger Wirtschaft</t>
  </si>
  <si>
    <t>Die Vorarlberger Wirtschaft …</t>
  </si>
  <si>
    <t xml:space="preserve">bildet </t>
  </si>
  <si>
    <t>sorgt für</t>
  </si>
  <si>
    <t>erbringt einen Großteil der Bruttowertschöpfung von</t>
  </si>
  <si>
    <t>gründet</t>
  </si>
  <si>
    <t>Unternehmen</t>
  </si>
  <si>
    <t>exportiert Waren u. Dienstleistungen im Wert von</t>
  </si>
  <si>
    <t>Quelle: Land Vorarlberg, Statistik Austria, WKO Statistik</t>
  </si>
  <si>
    <t>Quelle: Statistik Austria, WKO</t>
  </si>
  <si>
    <t>Quelle: Statistik Austria, WKO, Land Vorarlberg</t>
  </si>
  <si>
    <r>
      <t>Treibstoffe</t>
    </r>
    <r>
      <rPr>
        <vertAlign val="superscript"/>
        <sz val="8"/>
        <color theme="1"/>
        <rFont val="Calibri"/>
        <family val="2"/>
        <scheme val="minor"/>
      </rPr>
      <t>1</t>
    </r>
  </si>
  <si>
    <t>Quelle: Land Vorarlberg, Vorarlberg Netz GmbH</t>
  </si>
  <si>
    <t>(Jahresdurchschnitt )</t>
  </si>
  <si>
    <r>
      <t>Budget des Landes Vorarlberg (in Mio €)</t>
    </r>
    <r>
      <rPr>
        <b/>
        <vertAlign val="superscript"/>
        <sz val="11"/>
        <color theme="1"/>
        <rFont val="Calibri"/>
        <family val="2"/>
        <scheme val="minor"/>
      </rPr>
      <t>2</t>
    </r>
  </si>
  <si>
    <r>
      <t>davon natürliche Personen</t>
    </r>
    <r>
      <rPr>
        <vertAlign val="superscript"/>
        <sz val="11"/>
        <color theme="1"/>
        <rFont val="Calibri"/>
        <family val="2"/>
        <scheme val="minor"/>
      </rPr>
      <t xml:space="preserve"> 2</t>
    </r>
  </si>
  <si>
    <r>
      <t>Industriebeschäftigte nach Bundesländern pro 1000 EW</t>
    </r>
    <r>
      <rPr>
        <b/>
        <vertAlign val="superscript"/>
        <sz val="12"/>
        <color theme="1"/>
        <rFont val="Calibri"/>
        <family val="2"/>
        <scheme val="minor"/>
      </rPr>
      <t xml:space="preserve">1 </t>
    </r>
  </si>
  <si>
    <t>Zahl der Beschäftigten²</t>
  </si>
  <si>
    <r>
      <t xml:space="preserve">Gebäude und Wohnungen in Vorarlberg </t>
    </r>
    <r>
      <rPr>
        <vertAlign val="superscript"/>
        <sz val="11"/>
        <color theme="1"/>
        <rFont val="Calibri"/>
        <family val="2"/>
        <scheme val="minor"/>
      </rPr>
      <t>1</t>
    </r>
  </si>
  <si>
    <t>www.wkv.at/statistik</t>
  </si>
  <si>
    <t>Medieninhaber (Verleger) und Herausgeber:</t>
  </si>
  <si>
    <t>Ausarbeitung:</t>
  </si>
  <si>
    <t>Mag. Thomas Mitterlechner</t>
  </si>
  <si>
    <t>Gestaltung:</t>
  </si>
  <si>
    <t xml:space="preserve">Aufgrund der Berechnungen können nicht ganzzahlige Werte auftreten, daher </t>
  </si>
  <si>
    <t>sind in der Darstellung Rundungsdifferenzen möglich.</t>
  </si>
  <si>
    <t>Quelle: Land Vorarlberg, Hauptverband der Österr. Sozialversicherungsträger, AMS Vlbg., Bundesamt für Statistik Schweiz, Amt für Statistik Liechtenstein</t>
  </si>
  <si>
    <t>Alle Rechte vorbehalten. Eine auch nur auszugsweise Wiedergabe ist mit genauer</t>
  </si>
  <si>
    <t>Wirtschaftskammer Vorarlberg:</t>
  </si>
  <si>
    <t>Entwicklung der Mitglieder der Wirtschaftskammer Vorarlberg (31.12.)</t>
  </si>
  <si>
    <t>(Europäisches System Volkswirtschaftlicher Gesamtrechnungen 2010)</t>
  </si>
  <si>
    <t>Industrieproduktion nach Anteilen</t>
  </si>
  <si>
    <t>Industrieproduktionswert je Einwohner in €</t>
  </si>
  <si>
    <t>(letztverfügbare Werte)</t>
  </si>
  <si>
    <t>(*sortiert für Reihenfolge, siehe Grafik unten!!!!!!!)</t>
  </si>
  <si>
    <t>Ankünfte und Nächtigungen nach Herkunftsländern</t>
  </si>
  <si>
    <t>Impressum:</t>
  </si>
  <si>
    <t>Bruttoregionalprodukt</t>
  </si>
  <si>
    <t>Geheimhaltung:
Alle Beschäftigtendaten, die weniger als drei Arbeitgeberunternehmen betreffen, wurden auf Grund der Geheimhaltungsbestimmungen des Bundesstatistikgesetzes nicht ausgewiesen und durch ein „G“ ersetzt. Die geheim gehaltenen Daten sind aber in den Summen enthalten. Die Defensivgeheimhaltung zwingt auch dort Daten durch ein „G“ zu ersetzen, wo eine Geheimhaltung zwar nicht notwendig wäre,  aber die Möglichkeit bestünde, durch Zeilen- oder Spaltenberechnungen die geheim gehaltenen Daten zu ermitteln.</t>
  </si>
  <si>
    <t>Bildung</t>
  </si>
  <si>
    <t>Freizeit, Sport</t>
  </si>
  <si>
    <t>Kaufkraftbilanz - Vorarlberg</t>
  </si>
  <si>
    <t>Zuflüsse</t>
  </si>
  <si>
    <t>Abflüsse</t>
  </si>
  <si>
    <t>Bilanz</t>
  </si>
  <si>
    <t>Mio. Euro</t>
  </si>
  <si>
    <t>Berufsvorschule Jupident</t>
  </si>
  <si>
    <t>Gastronomiebetriebe</t>
  </si>
  <si>
    <t>Hotelbetriebe</t>
  </si>
  <si>
    <t>Gesundheitsbetriebe</t>
  </si>
  <si>
    <t>Reisebüros</t>
  </si>
  <si>
    <t>Kino-, Kultur- und Vergnügungsbetriebe</t>
  </si>
  <si>
    <t>Freizeit- und Sportbetriebe</t>
  </si>
  <si>
    <t>Auto</t>
  </si>
  <si>
    <t>Flugzeug</t>
  </si>
  <si>
    <t>Bruttowertschöpfung im Bereich Beherbergung und Gastronomie</t>
  </si>
  <si>
    <t>Vorarlberg in Mio. €</t>
  </si>
  <si>
    <t>je Einwohner in €</t>
  </si>
  <si>
    <t>Bruttoregionalprodukt je Einwohner nach Bundesland in Euro</t>
  </si>
  <si>
    <t>sind MG Insgesamt (aktiv und ruhend)</t>
  </si>
  <si>
    <t>Betriebe ab 50 Besch.</t>
  </si>
  <si>
    <t>werden die Mittelbetriebe (50-249 Besch.) und Großbetriebe (ab 250 Besch.) aufgrund der Geheimhaltung zusammengefügt.</t>
  </si>
  <si>
    <r>
      <t xml:space="preserve">Sparte Information und Consulting </t>
    </r>
    <r>
      <rPr>
        <b/>
        <vertAlign val="superscript"/>
        <sz val="11"/>
        <color theme="1"/>
        <rFont val="Calibri"/>
        <family val="2"/>
        <scheme val="minor"/>
      </rPr>
      <t>1</t>
    </r>
  </si>
  <si>
    <r>
      <t xml:space="preserve">Sparte Tourismus und Freizeitwirtschaft </t>
    </r>
    <r>
      <rPr>
        <b/>
        <vertAlign val="superscript"/>
        <sz val="11"/>
        <color theme="1"/>
        <rFont val="Calibri"/>
        <family val="2"/>
        <scheme val="minor"/>
      </rPr>
      <t>1</t>
    </r>
  </si>
  <si>
    <t>Öl</t>
  </si>
  <si>
    <t>Umgebungswärme/Wärmepumpen</t>
  </si>
  <si>
    <t>Biogene Energieträger</t>
  </si>
  <si>
    <t>Solarwärme</t>
  </si>
  <si>
    <t>Elektrische Energie</t>
  </si>
  <si>
    <t>Gesamtenergieverbrauch</t>
  </si>
  <si>
    <t>Energetischer Endverbrauch elektr. Energie</t>
  </si>
  <si>
    <t xml:space="preserve">
in KWh/Einwohner</t>
  </si>
  <si>
    <r>
      <rPr>
        <sz val="9"/>
        <color rgb="FFFF0000"/>
        <rFont val="Calibri"/>
        <family val="2"/>
        <scheme val="minor"/>
      </rPr>
      <t>1</t>
    </r>
    <r>
      <rPr>
        <sz val="12"/>
        <color theme="1"/>
        <rFont val="Calibri"/>
        <family val="2"/>
        <scheme val="minor"/>
      </rPr>
      <t xml:space="preserve"> </t>
    </r>
    <r>
      <rPr>
        <sz val="9"/>
        <color rgb="FFFF0000"/>
        <rFont val="Calibri"/>
        <family val="2"/>
        <scheme val="minor"/>
      </rPr>
      <t>Vorarlberg ohne Gießereiindustrie</t>
    </r>
  </si>
  <si>
    <t>Haushalte</t>
  </si>
  <si>
    <t>umsortiert für Reihenfolge für VIZ Darstellung</t>
  </si>
  <si>
    <t>Energetischer Endverbrauch elektrischer Energie nach Sektoren (GWh)</t>
  </si>
  <si>
    <t>Eigenverbrauch für Erzeugung und Verteilung</t>
  </si>
  <si>
    <t>Quelle: WKO, KMU-Forschung Austria</t>
  </si>
  <si>
    <t>Landesberufsschulen</t>
  </si>
  <si>
    <t>Treibstoffe (ohne Treibstoffexporte)</t>
  </si>
  <si>
    <t>NUR für GRAFIK!!</t>
  </si>
  <si>
    <t>(sind MG gesamt (aktiv + ruhend))</t>
  </si>
  <si>
    <t>Regionale Konzentration der Beschäftigten der gewerblichen Wirtschaft</t>
  </si>
  <si>
    <t>Auflistung im VIZ neu mit 10er-Schritt</t>
  </si>
  <si>
    <t>Holz u. Waren daraus</t>
  </si>
  <si>
    <r>
      <t>Einwohner: Hauptwohnsitze</t>
    </r>
    <r>
      <rPr>
        <vertAlign val="superscript"/>
        <sz val="11"/>
        <rFont val="Calibri"/>
        <family val="2"/>
      </rPr>
      <t>1</t>
    </r>
  </si>
  <si>
    <r>
      <t>Einwohner: weitere Wohnsitze</t>
    </r>
    <r>
      <rPr>
        <vertAlign val="superscript"/>
        <sz val="11"/>
        <rFont val="Calibri"/>
        <family val="2"/>
      </rPr>
      <t>1</t>
    </r>
  </si>
  <si>
    <r>
      <t>Wirtschaftskammermitglieder</t>
    </r>
    <r>
      <rPr>
        <vertAlign val="superscript"/>
        <sz val="11"/>
        <rFont val="Calibri"/>
        <family val="2"/>
      </rPr>
      <t>2</t>
    </r>
  </si>
  <si>
    <t>Ca. 80 % der Gastronomie- und Hotelbetriebe sind Familienunternehmen</t>
  </si>
  <si>
    <t xml:space="preserve">Quelle: Tourismus-Monitor Austria, Vorarlberg-Ergebnisse </t>
  </si>
  <si>
    <t>Gesamtsteuer je Mio. Euro</t>
  </si>
  <si>
    <t>Lohn- und Einkommensteuer je EW in Euro</t>
  </si>
  <si>
    <t>NÖ</t>
  </si>
  <si>
    <t>Quelle: Statistik Austria, Integrierte Lohn- und Steuerstatistik</t>
  </si>
  <si>
    <t>umsortiert für VIZ Darstellung</t>
  </si>
  <si>
    <t xml:space="preserve">Elektro u. Elektronik </t>
  </si>
  <si>
    <t>Exporte Vbg. - Entwicklung der Anteile nach Wirtschaftsblöcken</t>
  </si>
  <si>
    <t xml:space="preserve">Wie sind die Gäste über ihr Reiseziel aufmerksam geworden? </t>
  </si>
  <si>
    <t>Durch frühere Besuche</t>
  </si>
  <si>
    <t>Empfehlung</t>
  </si>
  <si>
    <t>Internet</t>
  </si>
  <si>
    <t>Werbung</t>
  </si>
  <si>
    <t>Reisebüro/Veranstalter</t>
  </si>
  <si>
    <t>Beiträge in Medien</t>
  </si>
  <si>
    <t>Sonstiges</t>
  </si>
  <si>
    <t>Weiß nicht/kann mich nicht mehr erinnern</t>
  </si>
  <si>
    <t>Durchschnittliche Aufenthaltsdauer in Tagen in Vorarlberg</t>
  </si>
  <si>
    <t xml:space="preserve">Mehrfachnennungen möglich, Vorarlberg-Ergebnisse </t>
  </si>
  <si>
    <t>Textilien</t>
  </si>
  <si>
    <t>1 vorläufige Werte</t>
  </si>
  <si>
    <r>
      <t xml:space="preserve">1 </t>
    </r>
    <r>
      <rPr>
        <sz val="9"/>
        <color rgb="FFFF0000"/>
        <rFont val="Calibri"/>
        <family val="2"/>
        <scheme val="minor"/>
      </rPr>
      <t>vorläufige Werte</t>
    </r>
  </si>
  <si>
    <t xml:space="preserve">Spartenstruktur Neugründungen in Vorarlberg </t>
  </si>
  <si>
    <t>Mandate 2019</t>
  </si>
  <si>
    <t>Bahn</t>
  </si>
  <si>
    <t>Bus</t>
  </si>
  <si>
    <t>sonstige Verkehrsmittel</t>
  </si>
  <si>
    <t>Quelle: Statistik Austria, Qurartale Stichprobenerhebung zum Urlaubs- und Geschäftsverkehr</t>
  </si>
  <si>
    <t>Quelle: WIFO Schnellschätzung; Hinweis:  geänderte Systematik ab 2014, Korrektur der letzten Jahre</t>
  </si>
  <si>
    <t>Jahresdurchschnitts-bevölkerung 2017 nach Bdl.</t>
  </si>
  <si>
    <t>Marktanteile am Gesamtumsatz in %</t>
  </si>
  <si>
    <t>Quelle: WKO, ÖW, T-MONA, Land Vorarlberg</t>
  </si>
  <si>
    <t>!Reihenfolge Nächtigungen beachten!!!</t>
  </si>
  <si>
    <t>!Reihenfolge Nächtigungen beachten!!</t>
  </si>
  <si>
    <t>Lohnnebenkosten in % des Leistungslohnes:</t>
  </si>
  <si>
    <t xml:space="preserve">    </t>
  </si>
  <si>
    <t>Achtung: Auflistung in der Grafik ab 2009!</t>
  </si>
  <si>
    <t>2019/2020 (pro Monat in €)</t>
  </si>
  <si>
    <t>davon in %:</t>
  </si>
  <si>
    <t>Gebäude</t>
  </si>
  <si>
    <r>
      <rPr>
        <vertAlign val="superscript"/>
        <sz val="9"/>
        <color theme="1"/>
        <rFont val="Calibri"/>
        <family val="2"/>
        <scheme val="minor"/>
      </rPr>
      <t>3</t>
    </r>
    <r>
      <rPr>
        <sz val="9"/>
        <color theme="1"/>
        <rFont val="Calibri"/>
        <family val="2"/>
        <scheme val="minor"/>
      </rPr>
      <t xml:space="preserve"> neue Methodik Land Vorarlberg</t>
    </r>
  </si>
  <si>
    <r>
      <rPr>
        <vertAlign val="superscript"/>
        <sz val="9"/>
        <color theme="1"/>
        <rFont val="Calibri"/>
        <family val="2"/>
        <scheme val="minor"/>
      </rPr>
      <t>4</t>
    </r>
    <r>
      <rPr>
        <sz val="9"/>
        <color theme="1"/>
        <rFont val="Calibri"/>
        <family val="2"/>
        <scheme val="minor"/>
      </rPr>
      <t xml:space="preserve"> ohne Treibstoffexporte</t>
    </r>
  </si>
  <si>
    <t>Achtung: ergänzende Quellenangabe!</t>
  </si>
  <si>
    <t>in % des Gesamt-verbr.</t>
  </si>
  <si>
    <t>in % des Gesamtverbr.</t>
  </si>
  <si>
    <t>Mittelschulen</t>
  </si>
  <si>
    <t>Sozialversicherungsbeiträge (Einhebung durch ÖGK)</t>
  </si>
  <si>
    <t>Quelle: bmf, bmwfj, ÖGK, Land Vorarlberg</t>
  </si>
  <si>
    <t>Unselbständige</t>
  </si>
  <si>
    <t>Achtung: Jahr 2011 neu und Jahr 2018 weggelassen!</t>
  </si>
  <si>
    <t>(Durchschnitt nominell); KMUForschung Austria, Economica</t>
  </si>
  <si>
    <t>2020 (Mio. €)</t>
  </si>
  <si>
    <t>Schruns-Tschagguns</t>
  </si>
  <si>
    <t>sonstige Zentralorte</t>
  </si>
  <si>
    <t xml:space="preserve">     Die Summe der Bezirksmitgliedschaften kann durch das Auftreten von Mehrfachmitgliedschaften (in mehreren Bezirken) von der Summe der Landeskammermitgliedschaften abweichen.</t>
  </si>
  <si>
    <r>
      <t>LKW der Klasse N</t>
    </r>
    <r>
      <rPr>
        <b/>
        <vertAlign val="superscript"/>
        <sz val="11"/>
        <rFont val="Calibri"/>
        <family val="2"/>
        <scheme val="minor"/>
      </rPr>
      <t>1</t>
    </r>
    <r>
      <rPr>
        <b/>
        <sz val="11"/>
        <rFont val="Calibri"/>
        <family val="2"/>
        <scheme val="minor"/>
      </rPr>
      <t xml:space="preserve"> in Vorarlberg nach Fahrzeughaltern</t>
    </r>
  </si>
  <si>
    <t>Beschäftigte u Grenzgänger</t>
  </si>
  <si>
    <t>Schulbesuch</t>
  </si>
  <si>
    <t>Haushalte u Landtagswahlen</t>
  </si>
  <si>
    <t>Steuern, Abgaben, Landesbudget</t>
  </si>
  <si>
    <t>Arbeitskosten, Preisindizes</t>
  </si>
  <si>
    <t>Entwicklung Kammermitglieder</t>
  </si>
  <si>
    <t>Arbeitsstätten, Beschäftigte</t>
  </si>
  <si>
    <t>Größenklassen Handel, Bank u Versicherung</t>
  </si>
  <si>
    <t>Größenklassen GWH, Industrie</t>
  </si>
  <si>
    <t>Größenklassen Transport, Verkehr, Tourismus</t>
  </si>
  <si>
    <t>Größenklassen Information u Consulting, Überblick</t>
  </si>
  <si>
    <t>Reg. Besch gew. Wirtschaft</t>
  </si>
  <si>
    <t>WKMitglieder Bezirke u. Rechtsformen</t>
  </si>
  <si>
    <t>Unternehmensneugründungen</t>
  </si>
  <si>
    <t>Bruttoregionalprodukt je EW</t>
  </si>
  <si>
    <t>Reale Bruttowertschöpfung</t>
  </si>
  <si>
    <t>Nominelle Bruttowertschöpfung</t>
  </si>
  <si>
    <t xml:space="preserve">Sachgüterproduktion </t>
  </si>
  <si>
    <t>Sachgüterproduktion je EW</t>
  </si>
  <si>
    <t>Industrieproduktion je EW</t>
  </si>
  <si>
    <t>Industriebesch Bdl je 1000 EW</t>
  </si>
  <si>
    <t>Gewerbeproduktion</t>
  </si>
  <si>
    <t>Gebäude u Wohnbautätigkeit</t>
  </si>
  <si>
    <t>Entwicklung Kaufkraft</t>
  </si>
  <si>
    <t>Tourismus</t>
  </si>
  <si>
    <t>Ankünfte, Nächtigungen Regionen</t>
  </si>
  <si>
    <t>Verkehr Bestand Vlb</t>
  </si>
  <si>
    <t>Verkehr LKW, Seilbahnen</t>
  </si>
  <si>
    <t>Entwicklung Außenhandel</t>
  </si>
  <si>
    <t>Exporte WRäume u WGruppen</t>
  </si>
  <si>
    <t>Energieverbrauch Energieträger</t>
  </si>
  <si>
    <t>E-Verbrauch Anteile Energieträger</t>
  </si>
  <si>
    <t>Überblick</t>
  </si>
  <si>
    <r>
      <t>davon gemeldete</t>
    </r>
    <r>
      <rPr>
        <b/>
        <sz val="11"/>
        <color theme="1"/>
        <rFont val="Calibri"/>
        <family val="2"/>
        <scheme val="minor"/>
      </rPr>
      <t xml:space="preserve"> ausländische Staatsbürger</t>
    </r>
  </si>
  <si>
    <r>
      <t>Unselbständig Beschäftigte</t>
    </r>
    <r>
      <rPr>
        <b/>
        <vertAlign val="superscript"/>
        <sz val="11"/>
        <rFont val="Calibri"/>
        <family val="2"/>
        <scheme val="minor"/>
      </rPr>
      <t>1</t>
    </r>
    <r>
      <rPr>
        <b/>
        <sz val="11"/>
        <rFont val="Calibri"/>
        <family val="2"/>
        <scheme val="minor"/>
      </rPr>
      <t xml:space="preserve">
</t>
    </r>
    <r>
      <rPr>
        <sz val="11"/>
        <rFont val="Calibri"/>
        <family val="2"/>
        <scheme val="minor"/>
      </rPr>
      <t>(Jahresdurchschnitt)</t>
    </r>
  </si>
  <si>
    <r>
      <t>Unselbständig Beschäftigte</t>
    </r>
    <r>
      <rPr>
        <b/>
        <vertAlign val="superscript"/>
        <sz val="11"/>
        <rFont val="Calibri"/>
        <family val="2"/>
        <scheme val="minor"/>
      </rPr>
      <t>1</t>
    </r>
    <r>
      <rPr>
        <b/>
        <sz val="11"/>
        <rFont val="Calibri"/>
        <family val="2"/>
        <scheme val="minor"/>
      </rPr>
      <t xml:space="preserve"> 
</t>
    </r>
    <r>
      <rPr>
        <sz val="11"/>
        <rFont val="Calibri"/>
        <family val="2"/>
        <scheme val="minor"/>
      </rPr>
      <t>(Jahresdurchschnitt)</t>
    </r>
  </si>
  <si>
    <r>
      <t>Grenzgänger</t>
    </r>
    <r>
      <rPr>
        <b/>
        <vertAlign val="superscript"/>
        <sz val="11"/>
        <rFont val="Calibri"/>
        <family val="2"/>
        <scheme val="minor"/>
      </rPr>
      <t>2</t>
    </r>
  </si>
  <si>
    <r>
      <t>Bevölkerung/unselbst. Beschäftigte</t>
    </r>
    <r>
      <rPr>
        <b/>
        <vertAlign val="superscript"/>
        <sz val="14"/>
        <rFont val="Calibri"/>
        <family val="2"/>
        <scheme val="minor"/>
      </rPr>
      <t>1</t>
    </r>
  </si>
  <si>
    <r>
      <rPr>
        <vertAlign val="superscript"/>
        <sz val="9"/>
        <color theme="1"/>
        <rFont val="Calibri"/>
        <family val="2"/>
        <scheme val="minor"/>
      </rPr>
      <t>1</t>
    </r>
    <r>
      <rPr>
        <sz val="9"/>
        <color theme="1"/>
        <rFont val="Calibri"/>
        <family val="2"/>
        <scheme val="minor"/>
      </rPr>
      <t xml:space="preserve"> Daten der Rechnungsabschlüsse</t>
    </r>
  </si>
  <si>
    <r>
      <t>Preisindices</t>
    </r>
    <r>
      <rPr>
        <b/>
        <vertAlign val="superscript"/>
        <sz val="11"/>
        <color theme="1"/>
        <rFont val="Calibri"/>
        <family val="2"/>
        <scheme val="minor"/>
      </rPr>
      <t>1</t>
    </r>
  </si>
  <si>
    <r>
      <t xml:space="preserve">1 </t>
    </r>
    <r>
      <rPr>
        <sz val="9"/>
        <color theme="1"/>
        <rFont val="Calibri"/>
        <family val="2"/>
        <scheme val="minor"/>
      </rPr>
      <t>Österreichwerte</t>
    </r>
  </si>
  <si>
    <r>
      <t>ARBEITSSTÄTTEN</t>
    </r>
    <r>
      <rPr>
        <b/>
        <vertAlign val="superscript"/>
        <sz val="11"/>
        <color theme="1"/>
        <rFont val="Calibri"/>
        <family val="2"/>
        <scheme val="minor"/>
      </rPr>
      <t xml:space="preserve">1 </t>
    </r>
    <r>
      <rPr>
        <b/>
        <sz val="11"/>
        <color theme="1"/>
        <rFont val="Calibri"/>
        <family val="2"/>
        <scheme val="minor"/>
      </rPr>
      <t>und unselbständig BESCHÄFTIGTE</t>
    </r>
  </si>
  <si>
    <r>
      <t xml:space="preserve">Quelle: </t>
    </r>
    <r>
      <rPr>
        <sz val="9"/>
        <rFont val="Calibri"/>
        <family val="2"/>
        <scheme val="minor"/>
      </rPr>
      <t>WKO</t>
    </r>
  </si>
  <si>
    <t xml:space="preserve">VORARLBERG IN ZAHLEN </t>
  </si>
  <si>
    <t xml:space="preserve">Inhaltsverzecihnis </t>
  </si>
  <si>
    <t>Steuern, Abgaben, Budget &amp; Arbeitskosten, Preisindices</t>
  </si>
  <si>
    <t xml:space="preserve">Tabellenblatt /Inhalt </t>
  </si>
  <si>
    <t>KURZPROFIL VORARLBERG</t>
  </si>
  <si>
    <t xml:space="preserve">Altersgruppe </t>
  </si>
  <si>
    <t xml:space="preserve">Erwerbstätige  </t>
  </si>
  <si>
    <t xml:space="preserve">Prozent </t>
  </si>
  <si>
    <t>(inkl. Tourismus, Kindergartenpäd. u. Landwirtschaft)</t>
  </si>
  <si>
    <t>Quelle: RegioData Research, Kaufkraftkennziffern Österreich - Ausgabe 2023</t>
  </si>
  <si>
    <t>Sommer 2022</t>
  </si>
  <si>
    <t>Winter 2022/2023 vorläufiges Saisonsergebnis</t>
  </si>
  <si>
    <r>
      <t xml:space="preserve">2022 </t>
    </r>
    <r>
      <rPr>
        <vertAlign val="superscript"/>
        <sz val="11"/>
        <rFont val="Calibri"/>
        <family val="2"/>
        <scheme val="minor"/>
      </rPr>
      <t>1</t>
    </r>
  </si>
  <si>
    <t>Andere
Europa</t>
  </si>
  <si>
    <t>Achtung: Farben noch anpassen!!</t>
  </si>
  <si>
    <t>Summe</t>
  </si>
  <si>
    <t>2022</t>
  </si>
  <si>
    <r>
      <t xml:space="preserve">Maschinen- u. Metallwaren </t>
    </r>
    <r>
      <rPr>
        <vertAlign val="superscript"/>
        <sz val="11"/>
        <color theme="1"/>
        <rFont val="Calibri"/>
        <family val="2"/>
        <scheme val="minor"/>
      </rPr>
      <t>1</t>
    </r>
  </si>
  <si>
    <r>
      <rPr>
        <vertAlign val="superscript"/>
        <sz val="9"/>
        <color theme="1"/>
        <rFont val="Calibri"/>
        <family val="2"/>
        <scheme val="minor"/>
      </rPr>
      <t>3</t>
    </r>
    <r>
      <rPr>
        <sz val="9"/>
        <color theme="1"/>
        <rFont val="Calibri"/>
        <family val="2"/>
        <scheme val="minor"/>
      </rPr>
      <t xml:space="preserve">  Juni 2023: Überarbeitung der GUS-Staatenliste. Dazu gehören Armenien, Aserbaidschan, Belarus, Kirgisistan, Kasachstan, Moldau, Russische Föderation, Tadschikistan, Turkmenistan, Usbekistan. Daher entstehen Änderungen der Zeitreihe "Andere Europa" und "Asien".</t>
    </r>
  </si>
  <si>
    <r>
      <t xml:space="preserve">EU 27 </t>
    </r>
    <r>
      <rPr>
        <b/>
        <vertAlign val="superscript"/>
        <sz val="11"/>
        <rFont val="Calibri"/>
        <family val="2"/>
        <scheme val="minor"/>
      </rPr>
      <t>2</t>
    </r>
  </si>
  <si>
    <r>
      <t xml:space="preserve">GUS </t>
    </r>
    <r>
      <rPr>
        <b/>
        <vertAlign val="superscript"/>
        <sz val="11"/>
        <rFont val="Calibri"/>
        <family val="2"/>
        <scheme val="minor"/>
      </rPr>
      <t>3</t>
    </r>
  </si>
  <si>
    <r>
      <t>Erzeugung</t>
    </r>
    <r>
      <rPr>
        <vertAlign val="superscript"/>
        <sz val="11"/>
        <color theme="1"/>
        <rFont val="Calibri"/>
        <family val="2"/>
        <scheme val="minor"/>
      </rPr>
      <t xml:space="preserve"> 2</t>
    </r>
  </si>
  <si>
    <r>
      <t xml:space="preserve">Verkehr (ohne KEX) </t>
    </r>
    <r>
      <rPr>
        <vertAlign val="superscript"/>
        <sz val="11"/>
        <rFont val="Calibri"/>
        <family val="2"/>
        <scheme val="minor"/>
      </rPr>
      <t>4</t>
    </r>
  </si>
  <si>
    <t>Industrieproduktion in Mio. €</t>
  </si>
  <si>
    <r>
      <t>Abgänger</t>
    </r>
    <r>
      <rPr>
        <vertAlign val="superscript"/>
        <sz val="11"/>
        <color theme="1"/>
        <rFont val="Calibri"/>
        <family val="2"/>
        <scheme val="minor"/>
      </rPr>
      <t>1</t>
    </r>
  </si>
  <si>
    <r>
      <rPr>
        <b/>
        <sz val="11"/>
        <color theme="1"/>
        <rFont val="Calibri"/>
        <family val="2"/>
        <scheme val="minor"/>
      </rPr>
      <t>Berufsbildende</t>
    </r>
    <r>
      <rPr>
        <sz val="11"/>
        <color theme="1"/>
        <rFont val="Calibri"/>
        <family val="2"/>
        <scheme val="minor"/>
      </rPr>
      <t xml:space="preserve"> </t>
    </r>
    <r>
      <rPr>
        <b/>
        <sz val="11"/>
        <color theme="1"/>
        <rFont val="Calibri"/>
        <family val="2"/>
        <scheme val="minor"/>
      </rPr>
      <t>mittlere Schulen</t>
    </r>
  </si>
  <si>
    <r>
      <t>Landwirtsch. Fachschule</t>
    </r>
    <r>
      <rPr>
        <vertAlign val="superscript"/>
        <sz val="11"/>
        <color theme="1"/>
        <rFont val="Calibri"/>
        <family val="2"/>
        <scheme val="minor"/>
      </rPr>
      <t>2</t>
    </r>
    <r>
      <rPr>
        <sz val="11"/>
        <color theme="1"/>
        <rFont val="Calibri"/>
        <family val="2"/>
        <scheme val="minor"/>
      </rPr>
      <t>, Fachschule für Sozialarbeit, Techn.u.gew. Fachschulen</t>
    </r>
  </si>
  <si>
    <r>
      <t>Berufsbildende höhere Schulen</t>
    </r>
    <r>
      <rPr>
        <b/>
        <vertAlign val="superscript"/>
        <sz val="11"/>
        <color theme="1"/>
        <rFont val="Calibri"/>
        <family val="2"/>
        <scheme val="minor"/>
      </rPr>
      <t>2</t>
    </r>
  </si>
  <si>
    <r>
      <t>Pädagogische Hochschule - Lehrerausbildung</t>
    </r>
    <r>
      <rPr>
        <b/>
        <vertAlign val="superscript"/>
        <sz val="11"/>
        <color theme="1"/>
        <rFont val="Calibri"/>
        <family val="2"/>
        <scheme val="minor"/>
      </rPr>
      <t>3</t>
    </r>
  </si>
  <si>
    <r>
      <t>Marktanteile der zentralen Handelsstandorte am Gesamtumsatz des Landes Vorarlberg in %</t>
    </r>
    <r>
      <rPr>
        <b/>
        <vertAlign val="superscript"/>
        <sz val="11"/>
        <rFont val="Calibri"/>
        <family val="2"/>
        <scheme val="minor"/>
      </rPr>
      <t xml:space="preserve"> </t>
    </r>
  </si>
  <si>
    <r>
      <t>Verbrauchsausgaben</t>
    </r>
    <r>
      <rPr>
        <b/>
        <vertAlign val="superscript"/>
        <sz val="11"/>
        <rFont val="Calibri"/>
        <family val="2"/>
        <scheme val="minor"/>
      </rPr>
      <t xml:space="preserve"> 1</t>
    </r>
    <r>
      <rPr>
        <sz val="11"/>
        <rFont val="Calibri"/>
        <family val="2"/>
        <scheme val="minor"/>
      </rPr>
      <t xml:space="preserve"> </t>
    </r>
    <r>
      <rPr>
        <b/>
        <sz val="11"/>
        <rFont val="Calibri"/>
        <family val="2"/>
        <scheme val="minor"/>
      </rPr>
      <t xml:space="preserve">d. privaten Haushalte </t>
    </r>
  </si>
  <si>
    <r>
      <t xml:space="preserve">Quelle: Statistik Austria, Hauptverband der Sozialversicherungsträger, WKO, Land Vorarlberg, </t>
    </r>
    <r>
      <rPr>
        <sz val="9"/>
        <rFont val="Calibri"/>
        <family val="2"/>
        <scheme val="minor"/>
      </rPr>
      <t>AMS</t>
    </r>
  </si>
  <si>
    <r>
      <t xml:space="preserve">1 </t>
    </r>
    <r>
      <rPr>
        <sz val="9"/>
        <rFont val="Calibri"/>
        <family val="2"/>
        <scheme val="minor"/>
      </rPr>
      <t>Lt. Hauptverband der Österr. Sozialversicherungsträger werden aufrechte Beschäftigungsverhältnisse gezählt
(inkl. Karenzgeldbezieher, Präs.-und Zivildiener). Pro Person sind mehrere Beschäftigungsverhältnisse möglich.  
Jahresdurchschnitt</t>
    </r>
  </si>
  <si>
    <r>
      <rPr>
        <vertAlign val="superscript"/>
        <sz val="9"/>
        <color theme="1"/>
        <rFont val="Calibri"/>
        <family val="2"/>
        <scheme val="minor"/>
      </rPr>
      <t>1</t>
    </r>
    <r>
      <rPr>
        <sz val="9"/>
        <color theme="1"/>
        <rFont val="Calibri"/>
        <family val="2"/>
        <scheme val="minor"/>
      </rPr>
      <t xml:space="preserve"> einschließlich Präsenzdiener und Karenzgeldbezieher</t>
    </r>
  </si>
  <si>
    <r>
      <rPr>
        <vertAlign val="superscript"/>
        <sz val="9"/>
        <color theme="1"/>
        <rFont val="Calibri"/>
        <family val="2"/>
        <scheme val="minor"/>
      </rPr>
      <t>1</t>
    </r>
    <r>
      <rPr>
        <sz val="9"/>
        <color theme="1"/>
        <rFont val="Calibri"/>
        <family val="2"/>
        <scheme val="minor"/>
      </rPr>
      <t xml:space="preserve"> Schüler/Studenten in der letzten Schulstufe der jeweiligen Schule;</t>
    </r>
  </si>
  <si>
    <r>
      <rPr>
        <vertAlign val="superscript"/>
        <sz val="9"/>
        <color theme="1"/>
        <rFont val="Calibri"/>
        <family val="2"/>
        <scheme val="minor"/>
      </rPr>
      <t>2</t>
    </r>
    <r>
      <rPr>
        <sz val="9"/>
        <color theme="1"/>
        <rFont val="Calibri"/>
        <family val="2"/>
        <scheme val="minor"/>
      </rPr>
      <t xml:space="preserve"> ohne Kollegs/Lehrgänge/Fachschulen für Berufstätige</t>
    </r>
  </si>
  <si>
    <r>
      <rPr>
        <vertAlign val="superscript"/>
        <sz val="9"/>
        <rFont val="Calibri"/>
        <family val="2"/>
        <scheme val="minor"/>
      </rPr>
      <t>3</t>
    </r>
    <r>
      <rPr>
        <sz val="9"/>
        <rFont val="Calibri"/>
        <family val="2"/>
        <scheme val="minor"/>
      </rPr>
      <t xml:space="preserve"> ohne Aufbaustudierende, Studierende der Weiterbildung; ohne Studierende mit dem Status der Teilrechtsfähigkeit und ohne Andere Studierende</t>
    </r>
  </si>
  <si>
    <r>
      <rPr>
        <vertAlign val="superscript"/>
        <sz val="9"/>
        <color theme="1"/>
        <rFont val="Calibri"/>
        <family val="2"/>
        <scheme val="minor"/>
      </rPr>
      <t>1</t>
    </r>
    <r>
      <rPr>
        <sz val="9"/>
        <color theme="1"/>
        <rFont val="Calibri"/>
        <family val="2"/>
        <scheme val="minor"/>
      </rPr>
      <t xml:space="preserve"> Ein Betrieb kann mehrere Arbeitsstätten aufweisen.</t>
    </r>
  </si>
  <si>
    <t>Arbeitsstätten ohne EPU.</t>
  </si>
  <si>
    <r>
      <t>Unternehmensneugründungen in Vorarlberg</t>
    </r>
    <r>
      <rPr>
        <b/>
        <sz val="16"/>
        <rFont val="Calibri"/>
        <family val="2"/>
        <scheme val="minor"/>
      </rPr>
      <t xml:space="preserve"> </t>
    </r>
    <r>
      <rPr>
        <b/>
        <vertAlign val="superscript"/>
        <sz val="16"/>
        <rFont val="Calibri"/>
        <family val="2"/>
        <scheme val="minor"/>
      </rPr>
      <t>1</t>
    </r>
  </si>
  <si>
    <t xml:space="preserve">   dann wird das Mitglied pro Gebietseinheit einmal gezählt.</t>
  </si>
  <si>
    <r>
      <rPr>
        <vertAlign val="superscript"/>
        <sz val="9"/>
        <color theme="1"/>
        <rFont val="Calibri"/>
        <family val="2"/>
        <scheme val="minor"/>
      </rPr>
      <t>1</t>
    </r>
    <r>
      <rPr>
        <sz val="9"/>
        <color theme="1"/>
        <rFont val="Calibri"/>
        <family val="2"/>
        <scheme val="minor"/>
      </rPr>
      <t xml:space="preserve"> Unternehmensgründungen im Bereich der Wirtschaftskammer, echte Gründungen
(ohne Umgründungen, kurzfristige Löschungen oder "Ruhe</t>
    </r>
    <r>
      <rPr>
        <sz val="9"/>
        <rFont val="Calibri"/>
        <family val="2"/>
        <scheme val="minor"/>
      </rPr>
      <t>nd</t>
    </r>
    <r>
      <rPr>
        <sz val="9"/>
        <color theme="1"/>
        <rFont val="Calibri"/>
        <family val="2"/>
        <scheme val="minor"/>
      </rPr>
      <t>meldungen", Filialgründungen).</t>
    </r>
  </si>
  <si>
    <r>
      <t xml:space="preserve">2 </t>
    </r>
    <r>
      <rPr>
        <sz val="9"/>
        <color theme="1"/>
        <rFont val="Calibri"/>
        <family val="2"/>
        <scheme val="minor"/>
      </rPr>
      <t>Ist ein Mitglied in einer Gebietseinheit (Bundesland, Bezirk) tätig,</t>
    </r>
  </si>
  <si>
    <r>
      <rPr>
        <vertAlign val="superscript"/>
        <sz val="9"/>
        <color theme="1"/>
        <rFont val="Calibri"/>
        <family val="2"/>
        <scheme val="minor"/>
      </rPr>
      <t>1</t>
    </r>
    <r>
      <rPr>
        <sz val="9"/>
        <color theme="1"/>
        <rFont val="Calibri"/>
        <family val="2"/>
        <scheme val="minor"/>
      </rPr>
      <t xml:space="preserve"> vorläufige Werte</t>
    </r>
  </si>
  <si>
    <t xml:space="preserve"> Jahr</t>
  </si>
  <si>
    <r>
      <rPr>
        <vertAlign val="superscript"/>
        <sz val="9"/>
        <color theme="1"/>
        <rFont val="Calibri"/>
        <family val="2"/>
        <scheme val="minor"/>
      </rPr>
      <t>1</t>
    </r>
    <r>
      <rPr>
        <sz val="9"/>
        <color theme="1"/>
        <rFont val="Calibri"/>
        <family val="2"/>
        <scheme val="minor"/>
      </rPr>
      <t xml:space="preserve"> Ergebnisse der Konjunkturstatistik im Produzierenen Bereich</t>
    </r>
  </si>
  <si>
    <r>
      <rPr>
        <vertAlign val="superscript"/>
        <sz val="9"/>
        <color theme="1"/>
        <rFont val="Calibri"/>
        <family val="2"/>
        <scheme val="minor"/>
      </rPr>
      <t>1</t>
    </r>
    <r>
      <rPr>
        <sz val="9"/>
        <color theme="1"/>
        <rFont val="Calibri"/>
        <family val="2"/>
        <scheme val="minor"/>
      </rPr>
      <t xml:space="preserve"> Vorläufige Ergebisse, die in Bezug auf die bis zum Datenabzug registrierten Nachmeldungen aufgeschätzt sind.</t>
    </r>
  </si>
  <si>
    <r>
      <rPr>
        <vertAlign val="superscript"/>
        <sz val="9"/>
        <color theme="1"/>
        <rFont val="Calibri"/>
        <family val="2"/>
        <scheme val="minor"/>
      </rPr>
      <t>2</t>
    </r>
    <r>
      <rPr>
        <sz val="9"/>
        <color theme="1"/>
        <rFont val="Calibri"/>
        <family val="2"/>
        <scheme val="minor"/>
      </rPr>
      <t xml:space="preserve"> Daten zum Zeitpunkt der redaktionellen Fertigstellung noch nicht vorhanden.</t>
    </r>
  </si>
  <si>
    <r>
      <rPr>
        <vertAlign val="superscript"/>
        <sz val="9"/>
        <color theme="1"/>
        <rFont val="Calibri"/>
        <family val="2"/>
        <scheme val="minor"/>
      </rPr>
      <t>1</t>
    </r>
    <r>
      <rPr>
        <sz val="9"/>
        <color theme="1"/>
        <rFont val="Calibri"/>
        <family val="2"/>
        <scheme val="minor"/>
      </rPr>
      <t xml:space="preserve"> Gem. Konsumerhebung</t>
    </r>
  </si>
  <si>
    <r>
      <t>LKW</t>
    </r>
    <r>
      <rPr>
        <vertAlign val="superscript"/>
        <sz val="11"/>
        <color theme="1"/>
        <rFont val="Calibri"/>
        <family val="2"/>
        <scheme val="minor"/>
      </rPr>
      <t xml:space="preserve">1 </t>
    </r>
    <r>
      <rPr>
        <sz val="11"/>
        <color theme="1"/>
        <rFont val="Calibri"/>
        <family val="2"/>
        <scheme val="minor"/>
      </rPr>
      <t>in Vorarlberg nach Fahrzeughaltern</t>
    </r>
  </si>
  <si>
    <r>
      <rPr>
        <vertAlign val="superscript"/>
        <sz val="9"/>
        <rFont val="Calibri"/>
        <family val="2"/>
        <scheme val="minor"/>
      </rPr>
      <t>2</t>
    </r>
    <r>
      <rPr>
        <sz val="9"/>
        <rFont val="Calibri"/>
        <family val="2"/>
        <scheme val="minor"/>
      </rPr>
      <t xml:space="preserve"> ohne Schlepplifte mit niederer Seilführung</t>
    </r>
  </si>
  <si>
    <r>
      <rPr>
        <vertAlign val="superscript"/>
        <sz val="9"/>
        <rFont val="Calibri"/>
        <family val="2"/>
        <scheme val="minor"/>
      </rPr>
      <t>3</t>
    </r>
    <r>
      <rPr>
        <sz val="9"/>
        <rFont val="Calibri"/>
        <family val="2"/>
        <scheme val="minor"/>
      </rPr>
      <t xml:space="preserve"> Personen/Stunde in ganz Vorarlberg</t>
    </r>
  </si>
  <si>
    <r>
      <t xml:space="preserve">2  </t>
    </r>
    <r>
      <rPr>
        <sz val="9"/>
        <color theme="1"/>
        <rFont val="Calibri"/>
        <family val="2"/>
        <scheme val="minor"/>
      </rPr>
      <t>EU 27 zurückgerechnet: EU Austritt des Vereinigten Königreiches mit Stichtag 31. Jänner 2020</t>
    </r>
  </si>
  <si>
    <r>
      <rPr>
        <vertAlign val="superscript"/>
        <sz val="9"/>
        <color theme="1"/>
        <rFont val="Calibri"/>
        <family val="2"/>
        <scheme val="minor"/>
      </rPr>
      <t>2</t>
    </r>
    <r>
      <rPr>
        <sz val="9"/>
        <color theme="1"/>
        <rFont val="Calibri"/>
        <family val="2"/>
        <scheme val="minor"/>
      </rPr>
      <t xml:space="preserve"> Einspeisung ins öffentliche Netz</t>
    </r>
  </si>
  <si>
    <r>
      <rPr>
        <vertAlign val="superscript"/>
        <sz val="9"/>
        <color theme="1"/>
        <rFont val="Calibri"/>
        <family val="2"/>
        <scheme val="minor"/>
      </rPr>
      <t>1</t>
    </r>
    <r>
      <rPr>
        <sz val="9"/>
        <color theme="1"/>
        <rFont val="Calibri"/>
        <family val="2"/>
        <scheme val="minor"/>
      </rPr>
      <t xml:space="preserve"> ohne Treibstoffexporte</t>
    </r>
  </si>
  <si>
    <t>SCHUL-/STUDIENBESUCH Vorarlberg</t>
  </si>
  <si>
    <r>
      <t xml:space="preserve">2022 </t>
    </r>
    <r>
      <rPr>
        <b/>
        <vertAlign val="superscript"/>
        <sz val="11"/>
        <rFont val="Calibri"/>
        <family val="2"/>
        <scheme val="minor"/>
      </rPr>
      <t>1</t>
    </r>
  </si>
  <si>
    <r>
      <t xml:space="preserve">Bruttowertschöpfung zu Herstellerpreisen 2022 nominell (in Mio EUR) </t>
    </r>
    <r>
      <rPr>
        <b/>
        <vertAlign val="superscript"/>
        <sz val="11"/>
        <color rgb="FFFF0000"/>
        <rFont val="Calibri"/>
        <family val="2"/>
        <scheme val="minor"/>
      </rPr>
      <t>1</t>
    </r>
  </si>
  <si>
    <r>
      <t>Landesfläche</t>
    </r>
    <r>
      <rPr>
        <sz val="11"/>
        <rFont val="Calibri"/>
        <family val="2"/>
        <scheme val="minor"/>
      </rPr>
      <t xml:space="preserve"> (per  1.4.2024)</t>
    </r>
  </si>
  <si>
    <t>(Stichtag 30.06.2024)</t>
  </si>
  <si>
    <t>Stichtag 
30.06.2024</t>
  </si>
  <si>
    <t>Entwicklung 2014-2024</t>
  </si>
  <si>
    <t>(Stichtag 30.6.2024)</t>
  </si>
  <si>
    <r>
      <t xml:space="preserve">2 </t>
    </r>
    <r>
      <rPr>
        <sz val="9"/>
        <rFont val="Calibri"/>
        <family val="2"/>
        <scheme val="minor"/>
      </rPr>
      <t>Wohnsitz Österreich; Stand 31.12.2023</t>
    </r>
  </si>
  <si>
    <t>Quelle: Statistisches Jahrbuch 2023, Statistik Austria,Hauptverband der österreichischen Sozialversicherung, Land Vorarlberg</t>
  </si>
  <si>
    <t>Quelle: Stat. Jahrbuch 2024</t>
  </si>
  <si>
    <t>2022/2023</t>
  </si>
  <si>
    <t>(Jahresdurchschnitt 2023)</t>
  </si>
  <si>
    <t>Lohn- und Einkommensteuer pro Einwohner 2021 in €</t>
  </si>
  <si>
    <t>Arbeitskosten und Lohnnebenkosten (2023)</t>
  </si>
  <si>
    <t>€ 46,5/Std.</t>
  </si>
  <si>
    <t>Wirtschaftskammermitglieder 2023</t>
  </si>
  <si>
    <t>Jahresdurchschnitt 2023</t>
  </si>
  <si>
    <t>Größenstruktur der Arbeitgeberbetriebe per 31.01.2024</t>
  </si>
  <si>
    <t>Großbetriebe 250 u.m.B.</t>
  </si>
  <si>
    <t>(Jahresdurchschnitt 2023 nach Sparten)</t>
  </si>
  <si>
    <r>
      <t xml:space="preserve">Kammermitglieder  nach Bezirken per 31.12.2023 </t>
    </r>
    <r>
      <rPr>
        <b/>
        <vertAlign val="superscript"/>
        <sz val="11"/>
        <rFont val="Calibri"/>
        <family val="2"/>
        <scheme val="minor"/>
      </rPr>
      <t>1</t>
    </r>
  </si>
  <si>
    <t>Kammermitglieder nach Rechtsform per 31.12.2023</t>
  </si>
  <si>
    <r>
      <t xml:space="preserve">Sachgüterproduktion in Mio. Euro nach ÖNACE (2023 </t>
    </r>
    <r>
      <rPr>
        <b/>
        <vertAlign val="superscript"/>
        <sz val="11"/>
        <color theme="1"/>
        <rFont val="Calibri"/>
        <family val="2"/>
        <scheme val="minor"/>
      </rPr>
      <t>1</t>
    </r>
    <r>
      <rPr>
        <b/>
        <sz val="11"/>
        <color theme="1"/>
        <rFont val="Calibri"/>
        <family val="2"/>
        <scheme val="minor"/>
      </rPr>
      <t>)</t>
    </r>
  </si>
  <si>
    <t>Industrieproduktion in Mio. € (2023)</t>
  </si>
  <si>
    <t>nach Bundesländern in € (2023)</t>
  </si>
  <si>
    <r>
      <rPr>
        <vertAlign val="superscript"/>
        <sz val="9"/>
        <color theme="1"/>
        <rFont val="Calibri"/>
        <family val="2"/>
        <scheme val="minor"/>
      </rPr>
      <t>2</t>
    </r>
    <r>
      <rPr>
        <sz val="9"/>
        <color theme="1"/>
        <rFont val="Calibri"/>
        <family val="2"/>
        <scheme val="minor"/>
      </rPr>
      <t xml:space="preserve"> Industrie gemäß Kammersystematik; ohne Bauwirtschaft; 2023; 1. Aufarbeitung</t>
    </r>
  </si>
  <si>
    <t>Quelle: KMUForschung Austria, Economica, Statistik Austria, Berechnungen CIMA Austria, iföw (Institut für Österreichs Wirtschaft)</t>
  </si>
  <si>
    <t>Entwicklung der Kaufkraft in Österreich 2022-2023 in Euro</t>
  </si>
  <si>
    <t>Aktive Mitgliedsbetriebe per 31.12.2023</t>
  </si>
  <si>
    <t>Bevorzugte Verkehrsmittel österreichweit 2023</t>
  </si>
  <si>
    <t>LKW u. Sattelzugfahrzeuge</t>
  </si>
  <si>
    <t>2013</t>
  </si>
  <si>
    <t>2023</t>
  </si>
  <si>
    <r>
      <rPr>
        <vertAlign val="superscript"/>
        <sz val="9"/>
        <color theme="1"/>
        <rFont val="Calibri"/>
        <family val="2"/>
        <scheme val="minor"/>
      </rPr>
      <t>1</t>
    </r>
    <r>
      <rPr>
        <sz val="9"/>
        <color theme="1"/>
        <rFont val="Calibri"/>
        <family val="2"/>
        <scheme val="minor"/>
      </rPr>
      <t xml:space="preserve"> LKW Klasse N=LKW und Sattelzugfahrzeuge</t>
    </r>
  </si>
  <si>
    <t>Quelle: Land Vorarlberg, Transport und Verkehr, Seilbahnstatistik 2024</t>
  </si>
  <si>
    <r>
      <t xml:space="preserve">2023 </t>
    </r>
    <r>
      <rPr>
        <vertAlign val="superscript"/>
        <sz val="11"/>
        <rFont val="Calibri"/>
        <family val="2"/>
        <scheme val="minor"/>
      </rPr>
      <t>1</t>
    </r>
  </si>
  <si>
    <r>
      <t xml:space="preserve">2023 </t>
    </r>
    <r>
      <rPr>
        <b/>
        <vertAlign val="superscript"/>
        <sz val="11"/>
        <color theme="1"/>
        <rFont val="Calibri"/>
        <family val="2"/>
        <scheme val="minor"/>
      </rPr>
      <t>1</t>
    </r>
  </si>
  <si>
    <t xml:space="preserve">Elektrische Energie 2023 (in Mio KWh=GWh) </t>
  </si>
  <si>
    <r>
      <t xml:space="preserve">Energieverbrauch nach Sektoren 2022 in % </t>
    </r>
    <r>
      <rPr>
        <b/>
        <vertAlign val="superscript"/>
        <sz val="11"/>
        <rFont val="Calibri"/>
        <family val="2"/>
        <scheme val="minor"/>
      </rPr>
      <t>3</t>
    </r>
  </si>
  <si>
    <t>Energieverbrauch nach Anteil der Energieträger (GWh; 2022 vorläufige Werte)</t>
  </si>
  <si>
    <t>Lehrlinge aus (Lehrlingsstat. 2023)</t>
  </si>
  <si>
    <t>Arbeitsplätze (Jahresdurchschnitt 2023)</t>
  </si>
  <si>
    <r>
      <t xml:space="preserve">k.A. </t>
    </r>
    <r>
      <rPr>
        <b/>
        <vertAlign val="superscript"/>
        <sz val="11"/>
        <color theme="1"/>
        <rFont val="Calibri"/>
        <family val="2"/>
        <scheme val="minor"/>
      </rPr>
      <t>2</t>
    </r>
  </si>
  <si>
    <r>
      <t>2023</t>
    </r>
    <r>
      <rPr>
        <b/>
        <vertAlign val="superscript"/>
        <sz val="11"/>
        <color theme="1"/>
        <rFont val="Calibri"/>
        <family val="2"/>
        <scheme val="minor"/>
      </rPr>
      <t xml:space="preserve"> 1</t>
    </r>
  </si>
  <si>
    <t>Exporte in Mio. € (2023)</t>
  </si>
  <si>
    <r>
      <t xml:space="preserve">Gästenächtigungen </t>
    </r>
    <r>
      <rPr>
        <sz val="11"/>
        <rFont val="Calibri"/>
        <family val="2"/>
      </rPr>
      <t>(So23_Wi 24)</t>
    </r>
  </si>
  <si>
    <t>Gewerbeproduktion in Mio. € (2023)</t>
  </si>
  <si>
    <t>Bauproduktion in Mio. € (2023); Hochbau</t>
  </si>
  <si>
    <t>Sachgüterproduktion / EW  € (2023)</t>
  </si>
  <si>
    <t>Sachgüterproduktion in Mio. € (2023)</t>
  </si>
  <si>
    <t>Bruttoregionalprodukt /EW  € (2022)</t>
  </si>
  <si>
    <t>Bruttoregionalprodukt in Mio. € (2022)</t>
  </si>
  <si>
    <t>Bruttowertschöpfung zu Herstellerpreisen in Mio. € (2022)</t>
  </si>
  <si>
    <r>
      <t xml:space="preserve">Unternehmensneugründungen </t>
    </r>
    <r>
      <rPr>
        <sz val="11"/>
        <rFont val="Calibri"/>
        <family val="2"/>
      </rPr>
      <t>(2023)</t>
    </r>
  </si>
  <si>
    <t>Arbeitslosenquote (2023)</t>
  </si>
  <si>
    <t>Arbeitslose (2023)</t>
  </si>
  <si>
    <t>unselbst. Beschäftigte (2023)</t>
  </si>
  <si>
    <t>Erwerbstätige (Stat. Jahrbuch 2024)</t>
  </si>
  <si>
    <r>
      <t>1</t>
    </r>
    <r>
      <rPr>
        <sz val="9"/>
        <rFont val="Calibri"/>
        <family val="2"/>
        <scheme val="minor"/>
      </rPr>
      <t xml:space="preserve"> Stichtag 30. Juni 2024</t>
    </r>
  </si>
  <si>
    <r>
      <rPr>
        <vertAlign val="superscript"/>
        <sz val="9"/>
        <rFont val="Calibri"/>
        <family val="2"/>
        <scheme val="minor"/>
      </rPr>
      <t>2</t>
    </r>
    <r>
      <rPr>
        <sz val="9"/>
        <rFont val="Calibri"/>
        <family val="2"/>
        <scheme val="minor"/>
      </rPr>
      <t xml:space="preserve"> Stichtag 31. Dezember 2023</t>
    </r>
  </si>
  <si>
    <t>Sommer 2023
Ankünfte</t>
  </si>
  <si>
    <t>Sommer 2023
Nächtigungen</t>
  </si>
  <si>
    <t>Veränd. geg.Vorj.
%</t>
  </si>
  <si>
    <t>Winter 2024
Ankünfte</t>
  </si>
  <si>
    <t>Veränd. geg.Vorkj.
%</t>
  </si>
  <si>
    <t>Winter 2024
Nächtigungen</t>
  </si>
  <si>
    <t>Belgien</t>
  </si>
  <si>
    <t xml:space="preserve">     Datenvergleich zum Vorjahr</t>
  </si>
  <si>
    <t>Oktober 2024</t>
  </si>
  <si>
    <t>Ausgabe 2024</t>
  </si>
  <si>
    <t>Wirtschaftskammermitglieder nach Sparten per 31.12.2023</t>
  </si>
  <si>
    <t>Betriebsgrößen gewerbliche Wirtschaft per 31.12.2023</t>
  </si>
  <si>
    <r>
      <rPr>
        <vertAlign val="superscript"/>
        <sz val="9"/>
        <rFont val="Calibri"/>
        <family val="2"/>
        <scheme val="minor"/>
      </rPr>
      <t>1</t>
    </r>
    <r>
      <rPr>
        <sz val="9"/>
        <rFont val="Calibri"/>
        <family val="2"/>
        <scheme val="minor"/>
      </rPr>
      <t xml:space="preserve"> Da in den Sparten Tourismus und Freizeitwirtschaft sowie Information und Consulting zum Stichtag jeweils ein bis zwei Großbetriebe vorhanden sind, </t>
    </r>
  </si>
  <si>
    <r>
      <rPr>
        <vertAlign val="superscript"/>
        <sz val="11"/>
        <rFont val="Calibri"/>
        <family val="2"/>
        <scheme val="minor"/>
      </rPr>
      <t>1</t>
    </r>
    <r>
      <rPr>
        <sz val="11"/>
        <rFont val="Calibri"/>
        <family val="2"/>
        <scheme val="minor"/>
      </rPr>
      <t xml:space="preserve"> vorläufige Werte</t>
    </r>
  </si>
  <si>
    <r>
      <t xml:space="preserve">2022 </t>
    </r>
    <r>
      <rPr>
        <vertAlign val="superscript"/>
        <sz val="11"/>
        <color theme="0"/>
        <rFont val="Calibri"/>
        <family val="2"/>
        <scheme val="minor"/>
      </rPr>
      <t>1</t>
    </r>
  </si>
  <si>
    <t>Gewerbeproduktion je Beschäftigten nach Bundeländer in €</t>
  </si>
  <si>
    <t>Entwicklung der Kaufkraft in Österreich 2022-2023</t>
  </si>
  <si>
    <r>
      <t>Schlepplifte</t>
    </r>
    <r>
      <rPr>
        <b/>
        <vertAlign val="superscript"/>
        <sz val="11"/>
        <rFont val="Calibri"/>
        <family val="2"/>
        <scheme val="minor"/>
      </rPr>
      <t>2</t>
    </r>
  </si>
  <si>
    <r>
      <t>Förderleistung</t>
    </r>
    <r>
      <rPr>
        <b/>
        <vertAlign val="superscript"/>
        <sz val="11"/>
        <rFont val="Calibri"/>
        <family val="2"/>
        <scheme val="minor"/>
      </rPr>
      <t>3</t>
    </r>
  </si>
  <si>
    <r>
      <t>ab VIZ 2016: MG</t>
    </r>
    <r>
      <rPr>
        <b/>
        <sz val="11"/>
        <color theme="0"/>
        <rFont val="Calibri"/>
        <family val="2"/>
        <scheme val="minor"/>
      </rPr>
      <t xml:space="preserve"> insgesamt</t>
    </r>
    <r>
      <rPr>
        <sz val="11"/>
        <color theme="0"/>
        <rFont val="Calibri"/>
        <family val="2"/>
        <scheme val="minor"/>
      </rPr>
      <t xml:space="preserve"> (aktiv + ruhend)</t>
    </r>
  </si>
  <si>
    <t>Energieverbrauch nach Anteil der Energieträger (GWh)</t>
  </si>
  <si>
    <t>Mandate 2024</t>
  </si>
  <si>
    <r>
      <t>1</t>
    </r>
    <r>
      <rPr>
        <b/>
        <sz val="9"/>
        <rFont val="Calibri"/>
        <family val="2"/>
        <scheme val="minor"/>
      </rPr>
      <t xml:space="preserve"> endgültiges amtliches Ergebnis Landtagswahl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</si>
</sst>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
    <numFmt numFmtId="167" formatCode="_-* #,##0_-;\-* #,##0_-;_-* &quot;-&quot;??_-;_-@_-"/>
    <numFmt numFmtId="168" formatCode="0\ &quot;%&quot;"/>
    <numFmt numFmtId="169" formatCode="&quot;€&quot;\ #,##0"/>
    <numFmt numFmtId="170" formatCode="&quot;G&quot;"/>
  </numFmts>
  <fonts count="143">
    <font>
      <sz val="11"/>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8"/>
      <color theme="1"/>
      <name val="Calibri"/>
      <family val="2"/>
      <scheme val="minor"/>
    </font>
    <font>
      <sz val="11"/>
      <color theme="1"/>
      <name val="Trebuchet MS"/>
      <family val="2"/>
    </font>
    <font>
      <sz val="10"/>
      <color theme="1"/>
      <name val="Trebuchet MS"/>
      <family val="2"/>
    </font>
    <font>
      <sz val="9"/>
      <color theme="1"/>
      <name val="Calibri"/>
      <family val="2"/>
      <scheme val="minor"/>
    </font>
    <font>
      <sz val="11"/>
      <name val="Calibri"/>
      <family val="2"/>
      <scheme val="minor"/>
    </font>
    <font>
      <b/>
      <sz val="11"/>
      <color rgb="FF000000"/>
      <name val="Calibri"/>
      <family val="2"/>
    </font>
    <font>
      <sz val="11"/>
      <color theme="1"/>
      <name val="Calibri"/>
      <family val="2"/>
    </font>
    <font>
      <sz val="9"/>
      <color theme="1"/>
      <name val="Trebuchet MS"/>
      <family val="2"/>
    </font>
    <font>
      <sz val="18"/>
      <name val="Calibri"/>
      <family val="2"/>
      <scheme val="minor"/>
    </font>
    <font>
      <vertAlign val="superscript"/>
      <sz val="11"/>
      <color theme="1"/>
      <name val="Calibri"/>
      <family val="2"/>
      <scheme val="minor"/>
    </font>
    <font>
      <sz val="11"/>
      <name val="Optima"/>
    </font>
    <font>
      <sz val="10"/>
      <color theme="1"/>
      <name val="Calibri"/>
      <family val="2"/>
      <scheme val="minor"/>
    </font>
    <font>
      <b/>
      <sz val="14"/>
      <color theme="1"/>
      <name val="Calibri"/>
      <family val="2"/>
      <scheme val="minor"/>
    </font>
    <font>
      <sz val="14"/>
      <color theme="1"/>
      <name val="Calibri"/>
      <family val="2"/>
      <scheme val="minor"/>
    </font>
    <font>
      <b/>
      <sz val="12"/>
      <color theme="1"/>
      <name val="Trebuchet MS"/>
      <family val="2"/>
    </font>
    <font>
      <sz val="12"/>
      <color theme="1"/>
      <name val="Calibri"/>
      <family val="2"/>
      <scheme val="minor"/>
    </font>
    <font>
      <sz val="12"/>
      <color theme="1"/>
      <name val="Trebuchet MS"/>
      <family val="2"/>
    </font>
    <font>
      <sz val="8"/>
      <color theme="1"/>
      <name val="Trebuchet MS"/>
      <family val="2"/>
    </font>
    <font>
      <sz val="8"/>
      <color theme="1"/>
      <name val="Calibri"/>
      <family val="2"/>
      <scheme val="minor"/>
    </font>
    <font>
      <b/>
      <u/>
      <sz val="12"/>
      <color theme="1"/>
      <name val="Calibri"/>
      <family val="2"/>
      <scheme val="minor"/>
    </font>
    <font>
      <b/>
      <sz val="12"/>
      <color theme="1"/>
      <name val="Calibri"/>
      <family val="2"/>
      <scheme val="minor"/>
    </font>
    <font>
      <b/>
      <sz val="22"/>
      <color rgb="FFFF0000"/>
      <name val="Calibri"/>
      <family val="2"/>
      <scheme val="minor"/>
    </font>
    <font>
      <sz val="10"/>
      <name val="Arial"/>
      <family val="2"/>
    </font>
    <font>
      <sz val="12"/>
      <color rgb="FFFF0000"/>
      <name val="Trebuchet MS"/>
      <family val="2"/>
    </font>
    <font>
      <b/>
      <sz val="12"/>
      <color rgb="FFFF0000"/>
      <name val="Calibri"/>
      <family val="2"/>
      <scheme val="minor"/>
    </font>
    <font>
      <sz val="12"/>
      <color rgb="FFFF0000"/>
      <name val="Calibri"/>
      <family val="2"/>
      <scheme val="minor"/>
    </font>
    <font>
      <sz val="12"/>
      <name val="Calibri"/>
      <family val="2"/>
      <scheme val="minor"/>
    </font>
    <font>
      <vertAlign val="superscript"/>
      <sz val="11"/>
      <color rgb="FFFF0000"/>
      <name val="Calibri"/>
      <family val="2"/>
      <scheme val="minor"/>
    </font>
    <font>
      <vertAlign val="superscript"/>
      <sz val="11"/>
      <name val="Calibri"/>
      <family val="2"/>
      <scheme val="minor"/>
    </font>
    <font>
      <b/>
      <vertAlign val="superscript"/>
      <sz val="12"/>
      <color theme="1"/>
      <name val="Calibri"/>
      <family val="2"/>
      <scheme val="minor"/>
    </font>
    <font>
      <vertAlign val="superscript"/>
      <sz val="12"/>
      <color theme="1"/>
      <name val="Calibri"/>
      <family val="2"/>
      <scheme val="minor"/>
    </font>
    <font>
      <sz val="14"/>
      <color theme="1"/>
      <name val="Trebuchet MS"/>
      <family val="2"/>
    </font>
    <font>
      <b/>
      <sz val="11.95"/>
      <color indexed="8"/>
      <name val="Trebuchet MS"/>
      <family val="2"/>
    </font>
    <font>
      <sz val="20"/>
      <color theme="1"/>
      <name val="Calibri"/>
      <family val="2"/>
      <scheme val="minor"/>
    </font>
    <font>
      <sz val="11"/>
      <color theme="0" tint="-0.34998626667073579"/>
      <name val="Calibri"/>
      <family val="2"/>
      <scheme val="minor"/>
    </font>
    <font>
      <sz val="11"/>
      <color rgb="FFFF0000"/>
      <name val="Trebuchet MS"/>
      <family val="2"/>
    </font>
    <font>
      <b/>
      <sz val="11"/>
      <color rgb="FFFF0000"/>
      <name val="Calibri"/>
      <family val="2"/>
    </font>
    <font>
      <sz val="22"/>
      <color theme="1"/>
      <name val="Calibri"/>
      <family val="2"/>
    </font>
    <font>
      <b/>
      <sz val="11"/>
      <color rgb="FFFF0000"/>
      <name val="Trebuchet MS"/>
      <family val="2"/>
    </font>
    <font>
      <sz val="10"/>
      <color rgb="FFFF0000"/>
      <name val="Calibri"/>
      <family val="2"/>
      <scheme val="minor"/>
    </font>
    <font>
      <b/>
      <sz val="10"/>
      <color rgb="FFFF0000"/>
      <name val="Calibri"/>
      <family val="2"/>
      <scheme val="minor"/>
    </font>
    <font>
      <b/>
      <sz val="11"/>
      <color rgb="FFFF0000"/>
      <name val="Calibri"/>
      <family val="2"/>
      <scheme val="minor"/>
    </font>
    <font>
      <b/>
      <sz val="11"/>
      <color theme="0" tint="-0.34998626667073579"/>
      <name val="Calibri"/>
      <family val="2"/>
      <scheme val="minor"/>
    </font>
    <font>
      <sz val="11"/>
      <color theme="5" tint="0.39997558519241921"/>
      <name val="Calibri"/>
      <family val="2"/>
      <scheme val="minor"/>
    </font>
    <font>
      <sz val="11"/>
      <color rgb="FFFF0000"/>
      <name val="Calibri"/>
      <family val="2"/>
    </font>
    <font>
      <sz val="10"/>
      <color rgb="FFFF0000"/>
      <name val="Trebuchet MS"/>
      <family val="2"/>
    </font>
    <font>
      <sz val="11"/>
      <color theme="9" tint="0.39997558519241921"/>
      <name val="Calibri"/>
      <family val="2"/>
      <scheme val="minor"/>
    </font>
    <font>
      <b/>
      <sz val="8"/>
      <color theme="1"/>
      <name val="Calibri"/>
      <family val="2"/>
      <scheme val="minor"/>
    </font>
    <font>
      <b/>
      <sz val="11"/>
      <name val="Calibri"/>
      <family val="2"/>
      <scheme val="minor"/>
    </font>
    <font>
      <b/>
      <sz val="8"/>
      <name val="Calibri"/>
      <family val="2"/>
      <scheme val="minor"/>
    </font>
    <font>
      <sz val="12"/>
      <color theme="5" tint="0.79998168889431442"/>
      <name val="Optima"/>
    </font>
    <font>
      <b/>
      <sz val="11"/>
      <color theme="9" tint="0.39997558519241921"/>
      <name val="Trebuchet MS"/>
      <family val="2"/>
    </font>
    <font>
      <b/>
      <sz val="12"/>
      <color theme="9" tint="0.39997558519241921"/>
      <name val="Trebuchet MS"/>
      <family val="2"/>
    </font>
    <font>
      <b/>
      <sz val="12"/>
      <color theme="9" tint="0.39997558519241921"/>
      <name val="Optima"/>
    </font>
    <font>
      <b/>
      <sz val="10"/>
      <name val="Calibri"/>
      <family val="2"/>
      <scheme val="minor"/>
    </font>
    <font>
      <b/>
      <sz val="10"/>
      <color theme="1"/>
      <name val="Calibri"/>
      <family val="2"/>
      <scheme val="minor"/>
    </font>
    <font>
      <b/>
      <vertAlign val="superscript"/>
      <sz val="11"/>
      <color theme="1"/>
      <name val="Calibri"/>
      <family val="2"/>
      <scheme val="minor"/>
    </font>
    <font>
      <sz val="11"/>
      <color theme="0" tint="-0.249977111117893"/>
      <name val="Calibri"/>
      <family val="2"/>
      <scheme val="minor"/>
    </font>
    <font>
      <b/>
      <sz val="12"/>
      <name val="Calibri"/>
      <family val="2"/>
      <scheme val="minor"/>
    </font>
    <font>
      <sz val="11"/>
      <color theme="0" tint="-0.499984740745262"/>
      <name val="Calibri"/>
      <family val="2"/>
    </font>
    <font>
      <sz val="11"/>
      <color theme="4"/>
      <name val="Calibri"/>
      <family val="2"/>
    </font>
    <font>
      <b/>
      <sz val="12"/>
      <color theme="0" tint="-0.34998626667073579"/>
      <name val="Calibri"/>
      <family val="2"/>
      <scheme val="minor"/>
    </font>
    <font>
      <sz val="12"/>
      <color theme="0" tint="-0.34998626667073579"/>
      <name val="Calibri"/>
      <family val="2"/>
      <scheme val="minor"/>
    </font>
    <font>
      <sz val="10"/>
      <name val="Calibri"/>
      <family val="2"/>
      <scheme val="minor"/>
    </font>
    <font>
      <sz val="11"/>
      <color theme="0" tint="-0.499984740745262"/>
      <name val="Calibri"/>
      <family val="2"/>
      <scheme val="minor"/>
    </font>
    <font>
      <b/>
      <sz val="11"/>
      <color theme="0" tint="-0.499984740745262"/>
      <name val="Calibri"/>
      <family val="2"/>
      <scheme val="minor"/>
    </font>
    <font>
      <b/>
      <vertAlign val="superscript"/>
      <sz val="11"/>
      <color rgb="FFFF0000"/>
      <name val="Calibri"/>
      <family val="2"/>
      <scheme val="minor"/>
    </font>
    <font>
      <vertAlign val="superscript"/>
      <sz val="8"/>
      <color theme="1"/>
      <name val="Calibri"/>
      <family val="2"/>
      <scheme val="minor"/>
    </font>
    <font>
      <b/>
      <sz val="14"/>
      <name val="Calibri"/>
      <family val="2"/>
      <scheme val="minor"/>
    </font>
    <font>
      <b/>
      <vertAlign val="superscript"/>
      <sz val="14"/>
      <name val="Calibri"/>
      <family val="2"/>
      <scheme val="minor"/>
    </font>
    <font>
      <u/>
      <sz val="11"/>
      <color theme="10"/>
      <name val="Calibri"/>
      <family val="2"/>
      <scheme val="minor"/>
    </font>
    <font>
      <b/>
      <vertAlign val="superscript"/>
      <sz val="11"/>
      <name val="Calibri"/>
      <family val="2"/>
      <scheme val="minor"/>
    </font>
    <font>
      <sz val="11"/>
      <color rgb="FF808080"/>
      <name val="Calibri"/>
      <family val="2"/>
      <scheme val="minor"/>
    </font>
    <font>
      <sz val="9"/>
      <name val="Trebuchet MS"/>
      <family val="2"/>
    </font>
    <font>
      <sz val="9"/>
      <color rgb="FFFF0000"/>
      <name val="Calibri"/>
      <family val="2"/>
      <scheme val="minor"/>
    </font>
    <font>
      <sz val="11"/>
      <name val="Calibri"/>
      <family val="2"/>
    </font>
    <font>
      <sz val="10"/>
      <color theme="0" tint="-0.499984740745262"/>
      <name val="Calibri"/>
      <family val="2"/>
      <scheme val="minor"/>
    </font>
    <font>
      <sz val="9"/>
      <color theme="0" tint="-0.34998626667073579"/>
      <name val="Calibri"/>
      <family val="2"/>
      <scheme val="minor"/>
    </font>
    <font>
      <sz val="11"/>
      <color rgb="FFE30613"/>
      <name val="Calibri"/>
      <family val="2"/>
      <scheme val="minor"/>
    </font>
    <font>
      <vertAlign val="superscript"/>
      <sz val="11"/>
      <name val="Calibri"/>
      <family val="2"/>
    </font>
    <font>
      <b/>
      <sz val="8"/>
      <color rgb="FFFF0000"/>
      <name val="Calibri"/>
      <family val="2"/>
      <scheme val="minor"/>
    </font>
    <font>
      <b/>
      <sz val="9"/>
      <color indexed="81"/>
      <name val="Segoe UI"/>
      <family val="2"/>
    </font>
    <font>
      <vertAlign val="superscript"/>
      <sz val="9"/>
      <color rgb="FFFF0000"/>
      <name val="Calibri"/>
      <family val="2"/>
      <scheme val="minor"/>
    </font>
    <font>
      <vertAlign val="superscript"/>
      <sz val="9"/>
      <color theme="1"/>
      <name val="Calibri"/>
      <family val="2"/>
      <scheme val="minor"/>
    </font>
    <font>
      <sz val="16"/>
      <color rgb="FF000000"/>
      <name val="Calibri"/>
      <family val="2"/>
      <scheme val="minor"/>
    </font>
    <font>
      <sz val="18"/>
      <color rgb="FF000000"/>
      <name val="Calibri"/>
      <family val="2"/>
      <scheme val="minor"/>
    </font>
    <font>
      <b/>
      <sz val="11"/>
      <color rgb="FF000000"/>
      <name val="Calibri"/>
      <family val="2"/>
      <scheme val="minor"/>
    </font>
    <font>
      <sz val="11"/>
      <color rgb="FF000000"/>
      <name val="Calibri"/>
      <family val="2"/>
      <scheme val="minor"/>
    </font>
    <font>
      <sz val="9"/>
      <color rgb="FF000000"/>
      <name val="Calibri"/>
      <family val="2"/>
      <scheme val="minor"/>
    </font>
    <font>
      <b/>
      <sz val="10"/>
      <color theme="0" tint="-0.34998626667073579"/>
      <name val="Calibri"/>
      <family val="2"/>
      <scheme val="minor"/>
    </font>
    <font>
      <sz val="10"/>
      <color theme="0" tint="-0.34998626667073579"/>
      <name val="Calibri"/>
      <family val="2"/>
      <scheme val="minor"/>
    </font>
    <font>
      <sz val="8"/>
      <name val="Calibri"/>
      <family val="2"/>
      <scheme val="minor"/>
    </font>
    <font>
      <b/>
      <sz val="7"/>
      <color theme="1"/>
      <name val="Calibri"/>
      <family val="2"/>
      <scheme val="minor"/>
    </font>
    <font>
      <sz val="9"/>
      <color theme="0" tint="-0.249977111117893"/>
      <name val="Calibri"/>
      <family val="2"/>
      <scheme val="minor"/>
    </font>
    <font>
      <vertAlign val="superscript"/>
      <sz val="9"/>
      <color theme="0" tint="-0.249977111117893"/>
      <name val="Calibri"/>
      <family val="2"/>
      <scheme val="minor"/>
    </font>
    <font>
      <b/>
      <strike/>
      <sz val="11"/>
      <color rgb="FFFF0000"/>
      <name val="Calibri"/>
      <family val="2"/>
      <scheme val="minor"/>
    </font>
    <font>
      <b/>
      <sz val="11"/>
      <color indexed="8"/>
      <name val="Calibri"/>
      <family val="2"/>
      <scheme val="minor"/>
    </font>
    <font>
      <sz val="9"/>
      <name val="Calibri"/>
      <family val="2"/>
      <scheme val="minor"/>
    </font>
    <font>
      <sz val="9"/>
      <color theme="0" tint="-0.499984740745262"/>
      <name val="Calibri"/>
      <family val="2"/>
      <scheme val="minor"/>
    </font>
    <font>
      <sz val="9"/>
      <color theme="9" tint="0.39997558519241921"/>
      <name val="Calibri"/>
      <family val="2"/>
      <scheme val="minor"/>
    </font>
    <font>
      <sz val="11"/>
      <color theme="0"/>
      <name val="Calibri"/>
      <family val="2"/>
      <scheme val="minor"/>
    </font>
    <font>
      <sz val="10"/>
      <color theme="1"/>
      <name val="DIN 2014"/>
      <family val="2"/>
    </font>
    <font>
      <sz val="10"/>
      <color theme="0"/>
      <name val="Calibri"/>
      <family val="2"/>
      <scheme val="minor"/>
    </font>
    <font>
      <sz val="9"/>
      <color theme="1"/>
      <name val="DIN 2014"/>
      <family val="2"/>
    </font>
    <font>
      <sz val="10"/>
      <color theme="1"/>
      <name val="Bierstadt"/>
      <family val="2"/>
    </font>
    <font>
      <sz val="10"/>
      <color theme="0" tint="-0.499984740745262"/>
      <name val="Bierstadt"/>
      <family val="2"/>
    </font>
    <font>
      <sz val="11"/>
      <color theme="1"/>
      <name val="Bierstadt"/>
      <family val="2"/>
    </font>
    <font>
      <u/>
      <sz val="9"/>
      <color rgb="FFC00000"/>
      <name val="Bierstadt"/>
      <family val="2"/>
    </font>
    <font>
      <sz val="9"/>
      <color rgb="FFFF0000"/>
      <name val="Bierstadt"/>
      <family val="2"/>
    </font>
    <font>
      <sz val="9"/>
      <color theme="1"/>
      <name val="Bierstadt"/>
      <family val="2"/>
    </font>
    <font>
      <b/>
      <sz val="16"/>
      <color rgb="FF000000"/>
      <name val="Din"/>
    </font>
    <font>
      <b/>
      <sz val="11"/>
      <name val="Calibri"/>
      <family val="2"/>
    </font>
    <font>
      <b/>
      <sz val="11"/>
      <color theme="0"/>
      <name val="Calibri"/>
      <family val="2"/>
      <scheme val="minor"/>
    </font>
    <font>
      <b/>
      <u/>
      <sz val="9"/>
      <color theme="1"/>
      <name val="Calibri"/>
      <family val="2"/>
      <scheme val="minor"/>
    </font>
    <font>
      <b/>
      <sz val="16"/>
      <color theme="1"/>
      <name val="Calibri"/>
      <family val="2"/>
      <scheme val="minor"/>
    </font>
    <font>
      <b/>
      <u/>
      <sz val="11"/>
      <color theme="1"/>
      <name val="Calibri"/>
      <family val="2"/>
      <scheme val="minor"/>
    </font>
    <font>
      <sz val="11"/>
      <color rgb="FFC00000"/>
      <name val="Calibri"/>
      <family val="2"/>
      <scheme val="minor"/>
    </font>
    <font>
      <u/>
      <sz val="11"/>
      <color rgb="FFC00000"/>
      <name val="Calibri"/>
      <family val="2"/>
      <scheme val="minor"/>
    </font>
    <font>
      <sz val="11"/>
      <color theme="1"/>
      <name val="Din"/>
    </font>
    <font>
      <b/>
      <sz val="18"/>
      <color theme="1"/>
      <name val="Calibri"/>
      <family val="2"/>
      <scheme val="minor"/>
    </font>
    <font>
      <u/>
      <sz val="10"/>
      <color theme="10"/>
      <name val="Calibri"/>
      <family val="2"/>
      <scheme val="minor"/>
    </font>
    <font>
      <sz val="9"/>
      <color theme="1"/>
      <name val="Calibri"/>
      <family val="2"/>
    </font>
    <font>
      <b/>
      <sz val="16"/>
      <color rgb="FF000000"/>
      <name val="Calibri"/>
      <family val="2"/>
      <scheme val="minor"/>
    </font>
    <font>
      <vertAlign val="superscript"/>
      <sz val="9"/>
      <name val="Calibri"/>
      <family val="2"/>
      <scheme val="minor"/>
    </font>
    <font>
      <b/>
      <vertAlign val="superscript"/>
      <sz val="9"/>
      <name val="Calibri"/>
      <family val="2"/>
      <scheme val="minor"/>
    </font>
    <font>
      <b/>
      <sz val="9"/>
      <name val="Calibri"/>
      <family val="2"/>
      <scheme val="minor"/>
    </font>
    <font>
      <sz val="9"/>
      <color indexed="8"/>
      <name val="Calibri"/>
      <family val="2"/>
      <scheme val="minor"/>
    </font>
    <font>
      <b/>
      <sz val="16"/>
      <name val="Calibri"/>
      <family val="2"/>
      <scheme val="minor"/>
    </font>
    <font>
      <b/>
      <vertAlign val="superscript"/>
      <sz val="16"/>
      <name val="Calibri"/>
      <family val="2"/>
      <scheme val="minor"/>
    </font>
    <font>
      <b/>
      <sz val="14"/>
      <color rgb="FF000000"/>
      <name val="Calibri"/>
      <family val="2"/>
      <scheme val="minor"/>
    </font>
    <font>
      <sz val="11"/>
      <color theme="0"/>
      <name val="Trebuchet MS"/>
      <family val="2"/>
    </font>
    <font>
      <b/>
      <sz val="16"/>
      <color theme="0"/>
      <name val="Calibri"/>
      <family val="2"/>
      <scheme val="minor"/>
    </font>
    <font>
      <sz val="16"/>
      <color theme="0"/>
      <name val="Calibri"/>
      <family val="2"/>
      <scheme val="minor"/>
    </font>
    <font>
      <vertAlign val="superscript"/>
      <sz val="11"/>
      <color theme="0"/>
      <name val="Calibri"/>
      <family val="2"/>
      <scheme val="minor"/>
    </font>
    <font>
      <sz val="12"/>
      <color theme="0"/>
      <name val="Calibri"/>
      <family val="2"/>
      <scheme val="minor"/>
    </font>
    <font>
      <b/>
      <sz val="12"/>
      <color theme="0"/>
      <name val="Calibri"/>
      <family val="2"/>
      <scheme val="minor"/>
    </font>
    <font>
      <b/>
      <sz val="14"/>
      <color theme="0"/>
      <name val="Calibri"/>
      <family val="2"/>
      <scheme val="minor"/>
    </font>
    <font>
      <sz val="9"/>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3061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0000"/>
        <bgColor rgb="FF000000"/>
      </patternFill>
    </fill>
    <fill>
      <patternFill patternType="solid">
        <fgColor rgb="FFFF0000"/>
        <bgColor indexed="64"/>
      </patternFill>
    </fill>
  </fills>
  <borders count="8">
    <border>
      <left/>
      <right/>
      <top/>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xf numFmtId="43" fontId="2" fillId="0" borderId="0" applyFont="0" applyFill="0" applyBorder="0" applyAlignment="0" applyProtection="0"/>
    <xf numFmtId="0" fontId="27" fillId="0" borderId="0"/>
    <xf numFmtId="0" fontId="27" fillId="0" borderId="0"/>
    <xf numFmtId="9" fontId="2" fillId="0" borderId="0" applyFont="0" applyFill="0" applyBorder="0" applyAlignment="0" applyProtection="0"/>
    <xf numFmtId="0" fontId="75" fillId="0" borderId="0" applyNumberFormat="0" applyFill="0" applyBorder="0" applyAlignment="0" applyProtection="0"/>
  </cellStyleXfs>
  <cellXfs count="852">
    <xf numFmtId="0" fontId="0" fillId="0" borderId="0" xfId="0"/>
    <xf numFmtId="0" fontId="6" fillId="0" borderId="0" xfId="0" applyFont="1" applyAlignment="1">
      <alignment horizontal="right" vertical="center" wrapText="1"/>
    </xf>
    <xf numFmtId="0" fontId="0" fillId="0" borderId="0" xfId="0" applyBorder="1"/>
    <xf numFmtId="165" fontId="0" fillId="0" borderId="0" xfId="0" applyNumberFormat="1"/>
    <xf numFmtId="0" fontId="0" fillId="0" borderId="3" xfId="0" applyBorder="1"/>
    <xf numFmtId="0" fontId="4" fillId="0" borderId="0" xfId="0" applyFont="1"/>
    <xf numFmtId="3" fontId="0" fillId="0" borderId="0" xfId="0" applyNumberFormat="1"/>
    <xf numFmtId="0" fontId="10" fillId="0" borderId="0" xfId="0" applyFont="1" applyFill="1" applyBorder="1"/>
    <xf numFmtId="0" fontId="11" fillId="0" borderId="0" xfId="0" applyFont="1" applyFill="1" applyBorder="1"/>
    <xf numFmtId="3" fontId="11" fillId="0" borderId="0" xfId="0" applyNumberFormat="1" applyFont="1" applyFill="1" applyBorder="1"/>
    <xf numFmtId="0" fontId="0" fillId="0" borderId="0" xfId="0" applyFont="1"/>
    <xf numFmtId="0" fontId="6" fillId="0" borderId="0" xfId="0" applyFont="1" applyAlignment="1">
      <alignment vertical="center" wrapText="1"/>
    </xf>
    <xf numFmtId="0" fontId="0" fillId="0" borderId="0" xfId="0" applyFont="1" applyAlignment="1">
      <alignment vertical="center" wrapText="1"/>
    </xf>
    <xf numFmtId="3" fontId="6" fillId="0" borderId="0" xfId="0" applyNumberFormat="1" applyFont="1" applyAlignment="1">
      <alignment horizontal="center" vertical="center" wrapText="1"/>
    </xf>
    <xf numFmtId="0" fontId="4" fillId="0" borderId="0" xfId="0" applyFont="1" applyBorder="1"/>
    <xf numFmtId="3" fontId="0" fillId="0" borderId="0" xfId="0" applyNumberFormat="1" applyBorder="1"/>
    <xf numFmtId="3" fontId="4" fillId="0" borderId="0" xfId="0" applyNumberFormat="1" applyFont="1" applyBorder="1"/>
    <xf numFmtId="0" fontId="16" fillId="0" borderId="0" xfId="0" applyFont="1"/>
    <xf numFmtId="0" fontId="15" fillId="0" borderId="0" xfId="0" applyFont="1"/>
    <xf numFmtId="3" fontId="15" fillId="0" borderId="0" xfId="0" applyNumberFormat="1" applyFont="1"/>
    <xf numFmtId="0" fontId="15" fillId="0" borderId="0" xfId="0" applyFont="1" applyBorder="1"/>
    <xf numFmtId="0" fontId="20" fillId="0" borderId="0" xfId="0" applyFont="1"/>
    <xf numFmtId="0" fontId="20" fillId="0" borderId="0" xfId="0" applyFont="1" applyBorder="1"/>
    <xf numFmtId="0" fontId="23" fillId="0" borderId="0" xfId="0" applyFont="1"/>
    <xf numFmtId="0" fontId="16" fillId="0" borderId="0" xfId="0" applyFont="1" applyBorder="1"/>
    <xf numFmtId="0" fontId="24" fillId="0" borderId="0" xfId="0" applyFont="1"/>
    <xf numFmtId="0" fontId="25" fillId="0" borderId="0" xfId="0" applyFont="1"/>
    <xf numFmtId="3" fontId="20" fillId="0" borderId="0" xfId="0" applyNumberFormat="1" applyFont="1"/>
    <xf numFmtId="0" fontId="26" fillId="0" borderId="0" xfId="0" applyFont="1"/>
    <xf numFmtId="9" fontId="20" fillId="0" borderId="0" xfId="0" applyNumberFormat="1" applyFont="1"/>
    <xf numFmtId="0" fontId="21" fillId="0" borderId="0" xfId="0" applyFont="1" applyAlignment="1">
      <alignment horizontal="center" vertical="center" wrapText="1"/>
    </xf>
    <xf numFmtId="0" fontId="21" fillId="0" borderId="0" xfId="0" applyFont="1" applyFill="1" applyAlignment="1">
      <alignment horizontal="right" vertical="center" wrapText="1"/>
    </xf>
    <xf numFmtId="0" fontId="12" fillId="0" borderId="0" xfId="0" applyFont="1"/>
    <xf numFmtId="0" fontId="3" fillId="0" borderId="0" xfId="0" applyFont="1"/>
    <xf numFmtId="0" fontId="0" fillId="0" borderId="5" xfId="0" applyFill="1" applyBorder="1"/>
    <xf numFmtId="0" fontId="0" fillId="0" borderId="5" xfId="0" applyBorder="1"/>
    <xf numFmtId="0" fontId="0" fillId="0" borderId="0" xfId="0" applyFill="1" applyBorder="1"/>
    <xf numFmtId="165" fontId="4" fillId="0" borderId="0" xfId="0" applyNumberFormat="1" applyFont="1"/>
    <xf numFmtId="0" fontId="0" fillId="0" borderId="0" xfId="0" applyAlignment="1">
      <alignment vertical="center"/>
    </xf>
    <xf numFmtId="0" fontId="0" fillId="0" borderId="0" xfId="0" applyBorder="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19" fillId="0" borderId="0" xfId="0" applyFont="1" applyFill="1" applyBorder="1" applyAlignment="1">
      <alignment horizontal="center" vertical="center" wrapText="1"/>
    </xf>
    <xf numFmtId="0" fontId="21" fillId="0" borderId="0" xfId="0" applyFont="1" applyFill="1" applyAlignment="1">
      <alignment horizontal="center"/>
    </xf>
    <xf numFmtId="3" fontId="21" fillId="0" borderId="0" xfId="0" applyNumberFormat="1" applyFont="1" applyFill="1" applyAlignment="1">
      <alignment horizontal="right" vertical="center" wrapText="1"/>
    </xf>
    <xf numFmtId="3" fontId="21" fillId="0" borderId="0" xfId="0" applyNumberFormat="1" applyFont="1" applyFill="1" applyBorder="1" applyAlignment="1">
      <alignment horizontal="right" vertical="center" wrapText="1"/>
    </xf>
    <xf numFmtId="3" fontId="21" fillId="0" borderId="0" xfId="0" applyNumberFormat="1" applyFont="1" applyFill="1" applyAlignment="1">
      <alignment horizontal="center" vertical="center" wrapText="1"/>
    </xf>
    <xf numFmtId="3" fontId="20" fillId="0" borderId="0" xfId="0" applyNumberFormat="1" applyFont="1" applyAlignment="1">
      <alignment vertical="center"/>
    </xf>
    <xf numFmtId="0" fontId="20" fillId="0" borderId="0" xfId="0" applyFont="1" applyFill="1"/>
    <xf numFmtId="0" fontId="29" fillId="0" borderId="0" xfId="0" applyFont="1"/>
    <xf numFmtId="0" fontId="30" fillId="0" borderId="0" xfId="0" applyFont="1" applyFill="1"/>
    <xf numFmtId="1" fontId="15" fillId="0" borderId="0" xfId="0" applyNumberFormat="1" applyFont="1"/>
    <xf numFmtId="166" fontId="0" fillId="0" borderId="0" xfId="0" applyNumberFormat="1"/>
    <xf numFmtId="0" fontId="20" fillId="0" borderId="3" xfId="0" applyFont="1" applyBorder="1"/>
    <xf numFmtId="3" fontId="25" fillId="0" borderId="0" xfId="0" applyNumberFormat="1" applyFont="1"/>
    <xf numFmtId="3" fontId="25" fillId="0" borderId="0" xfId="0" applyNumberFormat="1" applyFont="1" applyAlignment="1">
      <alignment vertical="center"/>
    </xf>
    <xf numFmtId="0" fontId="25" fillId="0" borderId="0" xfId="0" applyFont="1" applyAlignment="1">
      <alignment vertical="center"/>
    </xf>
    <xf numFmtId="0" fontId="20" fillId="0" borderId="0" xfId="0" applyFont="1" applyBorder="1" applyAlignment="1">
      <alignment horizontal="center"/>
    </xf>
    <xf numFmtId="164" fontId="31" fillId="0" borderId="0" xfId="0" applyNumberFormat="1" applyFont="1" applyAlignment="1">
      <alignment vertical="center"/>
    </xf>
    <xf numFmtId="3" fontId="20" fillId="0" borderId="0" xfId="0" applyNumberFormat="1" applyFont="1" applyBorder="1"/>
    <xf numFmtId="164" fontId="0" fillId="0" borderId="0" xfId="0" applyNumberFormat="1" applyBorder="1"/>
    <xf numFmtId="4" fontId="0" fillId="0" borderId="0" xfId="0" applyNumberFormat="1" applyBorder="1"/>
    <xf numFmtId="165" fontId="20" fillId="0" borderId="0" xfId="0" applyNumberFormat="1" applyFont="1"/>
    <xf numFmtId="0" fontId="20" fillId="0" borderId="0" xfId="0" applyFont="1" applyFill="1" applyBorder="1"/>
    <xf numFmtId="0" fontId="0" fillId="0" borderId="0" xfId="0" applyFont="1" applyFill="1" applyBorder="1"/>
    <xf numFmtId="3" fontId="20" fillId="0" borderId="0" xfId="0" applyNumberFormat="1" applyFont="1" applyFill="1"/>
    <xf numFmtId="3" fontId="25" fillId="0" borderId="0" xfId="0" applyNumberFormat="1" applyFont="1" applyFill="1"/>
    <xf numFmtId="0" fontId="0" fillId="0" borderId="0" xfId="0" applyAlignment="1">
      <alignment horizontal="left"/>
    </xf>
    <xf numFmtId="0" fontId="6" fillId="0" borderId="0" xfId="0" applyFont="1"/>
    <xf numFmtId="0" fontId="36" fillId="0" borderId="0" xfId="0" applyFont="1"/>
    <xf numFmtId="3" fontId="6" fillId="0" borderId="0" xfId="0" applyNumberFormat="1" applyFont="1"/>
    <xf numFmtId="0" fontId="38" fillId="0" borderId="0" xfId="0" applyFont="1"/>
    <xf numFmtId="0" fontId="0" fillId="0" borderId="0" xfId="0" applyAlignment="1">
      <alignment horizontal="right"/>
    </xf>
    <xf numFmtId="0" fontId="18" fillId="0" borderId="0" xfId="0" applyFont="1"/>
    <xf numFmtId="4" fontId="4" fillId="0" borderId="0" xfId="0" applyNumberFormat="1" applyFont="1" applyBorder="1"/>
    <xf numFmtId="0" fontId="8" fillId="0" borderId="0" xfId="0" applyFont="1"/>
    <xf numFmtId="0" fontId="17" fillId="0" borderId="0" xfId="0" applyFont="1"/>
    <xf numFmtId="0" fontId="17" fillId="0" borderId="0" xfId="0" applyFont="1" applyFill="1" applyBorder="1"/>
    <xf numFmtId="0" fontId="13" fillId="0" borderId="0" xfId="0" applyFont="1" applyFill="1" applyBorder="1"/>
    <xf numFmtId="0" fontId="13" fillId="0" borderId="0" xfId="0" applyFont="1" applyFill="1"/>
    <xf numFmtId="0" fontId="40" fillId="0" borderId="0" xfId="0" applyFont="1"/>
    <xf numFmtId="165" fontId="40" fillId="0" borderId="0" xfId="0" applyNumberFormat="1" applyFont="1"/>
    <xf numFmtId="0" fontId="0" fillId="0" borderId="0" xfId="0" applyAlignment="1">
      <alignment horizontal="left"/>
    </xf>
    <xf numFmtId="0" fontId="42" fillId="0" borderId="0" xfId="0" applyFont="1" applyFill="1" applyBorder="1" applyAlignment="1">
      <alignment horizontal="left"/>
    </xf>
    <xf numFmtId="166" fontId="3" fillId="0" borderId="0" xfId="0" applyNumberFormat="1" applyFont="1"/>
    <xf numFmtId="166" fontId="3" fillId="0" borderId="0" xfId="0" applyNumberFormat="1" applyFont="1" applyBorder="1"/>
    <xf numFmtId="0" fontId="3" fillId="0" borderId="0" xfId="0" applyFont="1" applyAlignment="1">
      <alignment horizontal="right"/>
    </xf>
    <xf numFmtId="3" fontId="46" fillId="0" borderId="0" xfId="0" applyNumberFormat="1" applyFont="1"/>
    <xf numFmtId="0" fontId="48" fillId="0" borderId="0" xfId="0" applyFont="1"/>
    <xf numFmtId="0" fontId="30" fillId="0" borderId="0" xfId="0" applyFont="1"/>
    <xf numFmtId="3" fontId="30" fillId="0" borderId="0" xfId="0" applyNumberFormat="1" applyFont="1"/>
    <xf numFmtId="0" fontId="3" fillId="0" borderId="0" xfId="0" applyFont="1" applyBorder="1" applyAlignment="1">
      <alignment horizontal="center"/>
    </xf>
    <xf numFmtId="3" fontId="3" fillId="0" borderId="0" xfId="0" applyNumberFormat="1" applyFont="1"/>
    <xf numFmtId="165" fontId="3" fillId="0" borderId="0" xfId="0" applyNumberFormat="1" applyFont="1"/>
    <xf numFmtId="0" fontId="46" fillId="0" borderId="0" xfId="0" applyFont="1"/>
    <xf numFmtId="165" fontId="30" fillId="0" borderId="0" xfId="0" applyNumberFormat="1" applyFont="1"/>
    <xf numFmtId="0" fontId="30" fillId="0" borderId="0" xfId="0" applyFont="1" applyAlignment="1">
      <alignment horizontal="left"/>
    </xf>
    <xf numFmtId="3" fontId="30" fillId="0" borderId="0" xfId="0" applyNumberFormat="1" applyFont="1" applyFill="1"/>
    <xf numFmtId="164" fontId="3" fillId="0" borderId="0" xfId="0" applyNumberFormat="1" applyFont="1"/>
    <xf numFmtId="0" fontId="7" fillId="0" borderId="0" xfId="0" applyFont="1"/>
    <xf numFmtId="0" fontId="50" fillId="0" borderId="0" xfId="0" applyFont="1"/>
    <xf numFmtId="3" fontId="40" fillId="0" borderId="0" xfId="0" applyNumberFormat="1" applyFont="1"/>
    <xf numFmtId="0" fontId="3" fillId="0" borderId="0" xfId="0" applyFont="1" applyBorder="1"/>
    <xf numFmtId="0" fontId="3" fillId="0" borderId="0" xfId="0" applyFont="1" applyFill="1" applyBorder="1"/>
    <xf numFmtId="3" fontId="30" fillId="0" borderId="0" xfId="0" applyNumberFormat="1" applyFont="1" applyAlignment="1">
      <alignment vertical="center"/>
    </xf>
    <xf numFmtId="3" fontId="29" fillId="0" borderId="0" xfId="0" applyNumberFormat="1" applyFont="1"/>
    <xf numFmtId="3" fontId="29" fillId="0" borderId="0" xfId="0" applyNumberFormat="1" applyFont="1" applyAlignment="1">
      <alignment vertical="center"/>
    </xf>
    <xf numFmtId="0" fontId="51" fillId="0" borderId="0" xfId="0" applyFont="1"/>
    <xf numFmtId="0" fontId="30" fillId="0" borderId="0" xfId="0" applyFont="1" applyAlignment="1">
      <alignment vertical="center"/>
    </xf>
    <xf numFmtId="0" fontId="46" fillId="0" borderId="0" xfId="0" applyFont="1" applyAlignment="1">
      <alignment horizontal="left"/>
    </xf>
    <xf numFmtId="0" fontId="46"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center" wrapText="1"/>
    </xf>
    <xf numFmtId="0" fontId="52" fillId="0" borderId="0" xfId="0" applyFont="1" applyAlignment="1">
      <alignment horizontal="center" wrapText="1"/>
    </xf>
    <xf numFmtId="164" fontId="46" fillId="0" borderId="0" xfId="0" applyNumberFormat="1" applyFont="1"/>
    <xf numFmtId="0" fontId="53" fillId="0" borderId="0" xfId="0" applyFont="1" applyAlignment="1">
      <alignment horizontal="center" wrapText="1"/>
    </xf>
    <xf numFmtId="0" fontId="54" fillId="0" borderId="0" xfId="0" applyFont="1" applyAlignment="1">
      <alignment horizontal="center" wrapText="1"/>
    </xf>
    <xf numFmtId="0" fontId="0" fillId="0" borderId="7" xfId="0" applyBorder="1"/>
    <xf numFmtId="0" fontId="46" fillId="0" borderId="3" xfId="0" applyFont="1" applyBorder="1" applyAlignment="1">
      <alignment horizontal="center"/>
    </xf>
    <xf numFmtId="3" fontId="55" fillId="0" borderId="0" xfId="1" applyNumberFormat="1" applyFont="1" applyFill="1" applyAlignment="1">
      <alignment horizontal="right"/>
    </xf>
    <xf numFmtId="0" fontId="56" fillId="0" borderId="0" xfId="0" applyFont="1" applyFill="1" applyAlignment="1">
      <alignment horizontal="right" vertical="center"/>
    </xf>
    <xf numFmtId="3" fontId="56" fillId="0" borderId="0" xfId="2" applyNumberFormat="1" applyFont="1" applyFill="1" applyAlignment="1" applyProtection="1">
      <alignment horizontal="right" wrapText="1" readingOrder="1"/>
      <protection locked="0"/>
    </xf>
    <xf numFmtId="3" fontId="56" fillId="0" borderId="0" xfId="2" applyNumberFormat="1" applyFont="1" applyFill="1" applyAlignment="1" applyProtection="1">
      <alignment horizontal="right" vertical="top" wrapText="1" readingOrder="1"/>
      <protection locked="0"/>
    </xf>
    <xf numFmtId="3" fontId="56" fillId="0" borderId="0" xfId="0" applyNumberFormat="1" applyFont="1" applyFill="1" applyAlignment="1">
      <alignment horizontal="right"/>
    </xf>
    <xf numFmtId="0" fontId="43" fillId="0" borderId="0" xfId="0" applyFont="1" applyAlignment="1">
      <alignment vertical="center"/>
    </xf>
    <xf numFmtId="0" fontId="30" fillId="0" borderId="0" xfId="0" applyFont="1" applyBorder="1"/>
    <xf numFmtId="0" fontId="51" fillId="0" borderId="0" xfId="0" applyFont="1" applyFill="1"/>
    <xf numFmtId="3" fontId="57" fillId="0" borderId="0" xfId="0" applyNumberFormat="1" applyFont="1" applyFill="1" applyAlignment="1" applyProtection="1">
      <alignment horizontal="right" vertical="top" wrapText="1" readingOrder="1"/>
      <protection locked="0"/>
    </xf>
    <xf numFmtId="3" fontId="58" fillId="0" borderId="0" xfId="0" applyNumberFormat="1" applyFont="1" applyFill="1" applyAlignment="1"/>
    <xf numFmtId="3" fontId="28" fillId="0" borderId="0" xfId="3" applyNumberFormat="1" applyFont="1" applyAlignment="1" applyProtection="1">
      <alignment horizontal="right" vertical="center" wrapText="1"/>
      <protection locked="0"/>
    </xf>
    <xf numFmtId="0" fontId="0" fillId="0" borderId="0" xfId="0" applyFill="1"/>
    <xf numFmtId="3" fontId="3" fillId="0" borderId="0" xfId="0" applyNumberFormat="1" applyFont="1" applyAlignment="1">
      <alignment horizontal="center"/>
    </xf>
    <xf numFmtId="3" fontId="3" fillId="0" borderId="0" xfId="0" applyNumberFormat="1" applyFont="1" applyFill="1" applyBorder="1" applyAlignment="1">
      <alignment horizontal="center"/>
    </xf>
    <xf numFmtId="165" fontId="3" fillId="0" borderId="0" xfId="0" applyNumberFormat="1" applyFont="1" applyAlignment="1">
      <alignment horizontal="center"/>
    </xf>
    <xf numFmtId="165" fontId="3" fillId="0" borderId="0" xfId="0" applyNumberFormat="1" applyFont="1" applyBorder="1" applyAlignment="1">
      <alignment horizontal="center"/>
    </xf>
    <xf numFmtId="9" fontId="3" fillId="0" borderId="0" xfId="0" applyNumberFormat="1" applyFont="1" applyAlignment="1">
      <alignment horizontal="center"/>
    </xf>
    <xf numFmtId="0" fontId="59" fillId="0" borderId="0" xfId="0" applyFont="1" applyAlignment="1">
      <alignment horizontal="center" wrapText="1"/>
    </xf>
    <xf numFmtId="0" fontId="60" fillId="0" borderId="0" xfId="0" applyFont="1" applyAlignment="1">
      <alignment horizontal="center" wrapText="1"/>
    </xf>
    <xf numFmtId="0" fontId="20" fillId="0" borderId="0" xfId="0" applyFont="1" applyAlignment="1">
      <alignment horizontal="left" vertical="center"/>
    </xf>
    <xf numFmtId="0" fontId="16" fillId="0" borderId="0" xfId="0" applyFont="1" applyFill="1" applyBorder="1"/>
    <xf numFmtId="3" fontId="44" fillId="0" borderId="0" xfId="0" applyNumberFormat="1" applyFont="1" applyBorder="1"/>
    <xf numFmtId="0" fontId="16" fillId="0" borderId="0" xfId="0" applyFont="1" applyFill="1"/>
    <xf numFmtId="0" fontId="0" fillId="0" borderId="0" xfId="0" applyAlignment="1">
      <alignment horizontal="center"/>
    </xf>
    <xf numFmtId="0" fontId="9" fillId="0" borderId="0" xfId="0" applyFont="1"/>
    <xf numFmtId="0" fontId="25" fillId="0" borderId="0" xfId="0" applyFont="1" applyBorder="1"/>
    <xf numFmtId="3" fontId="25" fillId="0" borderId="0" xfId="0" applyNumberFormat="1" applyFont="1" applyBorder="1"/>
    <xf numFmtId="0" fontId="62" fillId="0" borderId="0" xfId="0" applyFont="1"/>
    <xf numFmtId="165" fontId="62" fillId="0" borderId="0" xfId="0" applyNumberFormat="1" applyFont="1"/>
    <xf numFmtId="0" fontId="0" fillId="0" borderId="0" xfId="0" applyFont="1" applyAlignment="1">
      <alignment vertical="center"/>
    </xf>
    <xf numFmtId="3" fontId="0" fillId="0" borderId="0" xfId="0" applyNumberFormat="1" applyFont="1"/>
    <xf numFmtId="165" fontId="51" fillId="0" borderId="0" xfId="0" applyNumberFormat="1" applyFont="1"/>
    <xf numFmtId="49" fontId="3" fillId="0" borderId="0" xfId="0" applyNumberFormat="1" applyFont="1" applyBorder="1"/>
    <xf numFmtId="0" fontId="30" fillId="0" borderId="0" xfId="0" applyNumberFormat="1" applyFont="1" applyBorder="1"/>
    <xf numFmtId="0" fontId="63" fillId="0" borderId="0" xfId="0" applyFont="1"/>
    <xf numFmtId="0" fontId="31" fillId="0" borderId="0" xfId="0" applyFont="1"/>
    <xf numFmtId="0" fontId="31" fillId="0" borderId="0" xfId="0" applyFont="1" applyBorder="1"/>
    <xf numFmtId="165" fontId="30" fillId="0" borderId="0" xfId="0" applyNumberFormat="1" applyFont="1" applyFill="1"/>
    <xf numFmtId="0" fontId="22" fillId="0" borderId="0" xfId="0" applyFont="1"/>
    <xf numFmtId="3" fontId="0" fillId="0" borderId="0" xfId="0" applyNumberFormat="1" applyAlignment="1">
      <alignment horizontal="right"/>
    </xf>
    <xf numFmtId="0" fontId="0" fillId="0" borderId="0" xfId="0" applyAlignment="1">
      <alignment horizontal="center"/>
    </xf>
    <xf numFmtId="0" fontId="0" fillId="0" borderId="0" xfId="0"/>
    <xf numFmtId="0" fontId="65" fillId="0" borderId="0" xfId="0" applyFont="1" applyFill="1" applyBorder="1"/>
    <xf numFmtId="166" fontId="9" fillId="0" borderId="0" xfId="0" applyNumberFormat="1" applyFont="1" applyAlignment="1">
      <alignment vertical="center"/>
    </xf>
    <xf numFmtId="0" fontId="9" fillId="0" borderId="0" xfId="0" applyFont="1" applyAlignment="1">
      <alignment horizontal="right"/>
    </xf>
    <xf numFmtId="3" fontId="9" fillId="0" borderId="0" xfId="0" applyNumberFormat="1" applyFont="1"/>
    <xf numFmtId="166" fontId="0" fillId="0" borderId="0" xfId="0" applyNumberFormat="1" applyAlignment="1">
      <alignment horizontal="right"/>
    </xf>
    <xf numFmtId="166" fontId="9" fillId="0" borderId="0" xfId="0" applyNumberFormat="1" applyFont="1" applyAlignment="1">
      <alignment horizontal="right"/>
    </xf>
    <xf numFmtId="3" fontId="45" fillId="0" borderId="0" xfId="0" applyNumberFormat="1" applyFont="1" applyBorder="1"/>
    <xf numFmtId="0" fontId="60" fillId="0" borderId="0" xfId="0" applyFont="1"/>
    <xf numFmtId="0" fontId="16" fillId="3" borderId="0" xfId="0" applyFont="1" applyFill="1"/>
    <xf numFmtId="0" fontId="9" fillId="0" borderId="0" xfId="0" applyFont="1" applyBorder="1"/>
    <xf numFmtId="3" fontId="31" fillId="0" borderId="0" xfId="0" applyNumberFormat="1" applyFont="1"/>
    <xf numFmtId="0" fontId="53" fillId="0" borderId="0" xfId="0" applyFont="1"/>
    <xf numFmtId="0" fontId="39" fillId="0" borderId="0" xfId="0" applyFont="1" applyAlignment="1">
      <alignment horizontal="center"/>
    </xf>
    <xf numFmtId="0" fontId="39" fillId="0" borderId="0" xfId="0" applyFont="1"/>
    <xf numFmtId="3" fontId="39" fillId="0" borderId="0" xfId="0" applyNumberFormat="1" applyFont="1"/>
    <xf numFmtId="0" fontId="67" fillId="0" borderId="0" xfId="0" applyFont="1"/>
    <xf numFmtId="3" fontId="67" fillId="0" borderId="0" xfId="0" applyNumberFormat="1" applyFont="1"/>
    <xf numFmtId="9" fontId="39" fillId="0" borderId="0" xfId="0" applyNumberFormat="1" applyFont="1"/>
    <xf numFmtId="3" fontId="9" fillId="0" borderId="5" xfId="0" applyNumberFormat="1" applyFont="1" applyBorder="1"/>
    <xf numFmtId="0" fontId="69" fillId="0" borderId="0" xfId="0" applyFont="1"/>
    <xf numFmtId="3" fontId="69" fillId="0" borderId="0" xfId="0" applyNumberFormat="1" applyFont="1"/>
    <xf numFmtId="3" fontId="70" fillId="0" borderId="0" xfId="0" applyNumberFormat="1" applyFont="1"/>
    <xf numFmtId="165" fontId="69" fillId="0" borderId="0" xfId="0" applyNumberFormat="1" applyFont="1"/>
    <xf numFmtId="0" fontId="9" fillId="0" borderId="0" xfId="0" applyFont="1" applyFill="1" applyBorder="1"/>
    <xf numFmtId="164" fontId="9" fillId="0" borderId="0" xfId="0" applyNumberFormat="1" applyFont="1"/>
    <xf numFmtId="167" fontId="9" fillId="0" borderId="0" xfId="0" applyNumberFormat="1" applyFont="1" applyBorder="1"/>
    <xf numFmtId="169" fontId="30" fillId="0" borderId="0" xfId="0" applyNumberFormat="1" applyFont="1" applyAlignment="1">
      <alignment horizontal="right" vertical="center"/>
    </xf>
    <xf numFmtId="0" fontId="17" fillId="0" borderId="0" xfId="0" applyFont="1" applyBorder="1" applyAlignment="1"/>
    <xf numFmtId="165" fontId="31" fillId="0" borderId="0" xfId="0" applyNumberFormat="1" applyFont="1"/>
    <xf numFmtId="0" fontId="31" fillId="0" borderId="0" xfId="0" applyFont="1" applyAlignment="1">
      <alignment vertical="center"/>
    </xf>
    <xf numFmtId="0" fontId="0" fillId="3" borderId="0" xfId="0" applyFill="1"/>
    <xf numFmtId="0" fontId="53" fillId="0" borderId="0" xfId="0" applyFont="1" applyAlignment="1">
      <alignment horizontal="left"/>
    </xf>
    <xf numFmtId="3" fontId="3" fillId="0" borderId="0" xfId="0" applyNumberFormat="1" applyFont="1" applyFill="1" applyBorder="1"/>
    <xf numFmtId="166" fontId="3" fillId="0" borderId="0" xfId="0" applyNumberFormat="1" applyFont="1" applyFill="1" applyBorder="1"/>
    <xf numFmtId="3" fontId="3" fillId="0" borderId="0" xfId="0" applyNumberFormat="1" applyFont="1" applyBorder="1"/>
    <xf numFmtId="0" fontId="53" fillId="0" borderId="0" xfId="0" applyFont="1" applyBorder="1"/>
    <xf numFmtId="3" fontId="64" fillId="0" borderId="0" xfId="0" applyNumberFormat="1" applyFont="1" applyFill="1" applyBorder="1"/>
    <xf numFmtId="0" fontId="69" fillId="0" borderId="0" xfId="0" applyFont="1" applyBorder="1"/>
    <xf numFmtId="0" fontId="53" fillId="0" borderId="0" xfId="0" applyFont="1" applyFill="1" applyBorder="1"/>
    <xf numFmtId="0" fontId="35" fillId="0" borderId="0" xfId="0" applyFont="1"/>
    <xf numFmtId="166" fontId="9" fillId="0" borderId="0" xfId="0" applyNumberFormat="1" applyFont="1"/>
    <xf numFmtId="0" fontId="9" fillId="0" borderId="5" xfId="0" applyFont="1" applyBorder="1"/>
    <xf numFmtId="0" fontId="12" fillId="0" borderId="0" xfId="0" applyFont="1" applyAlignment="1">
      <alignment horizontal="justify" vertical="center"/>
    </xf>
    <xf numFmtId="0" fontId="12" fillId="0" borderId="0" xfId="0" applyFont="1" applyBorder="1"/>
    <xf numFmtId="0" fontId="12" fillId="0" borderId="0" xfId="0" applyFont="1" applyFill="1" applyBorder="1"/>
    <xf numFmtId="3" fontId="78" fillId="0" borderId="0" xfId="0" applyNumberFormat="1" applyFont="1"/>
    <xf numFmtId="0" fontId="77" fillId="0" borderId="0" xfId="0" applyFont="1"/>
    <xf numFmtId="0" fontId="69" fillId="0" borderId="0" xfId="0" applyFont="1" applyFill="1"/>
    <xf numFmtId="3" fontId="9" fillId="0" borderId="0" xfId="0" applyNumberFormat="1" applyFont="1" applyAlignment="1">
      <alignment horizontal="center"/>
    </xf>
    <xf numFmtId="0" fontId="53" fillId="0" borderId="0" xfId="0" applyFont="1" applyAlignment="1">
      <alignment horizontal="right"/>
    </xf>
    <xf numFmtId="0" fontId="79" fillId="0" borderId="0" xfId="0" applyFont="1"/>
    <xf numFmtId="0" fontId="9" fillId="0" borderId="0" xfId="0" applyFont="1" applyAlignment="1">
      <alignment wrapText="1"/>
    </xf>
    <xf numFmtId="168" fontId="9" fillId="0" borderId="0" xfId="0" applyNumberFormat="1" applyFont="1"/>
    <xf numFmtId="0" fontId="69" fillId="3" borderId="0" xfId="0" applyFont="1" applyFill="1"/>
    <xf numFmtId="0" fontId="3" fillId="3" borderId="0" xfId="0" applyFont="1" applyFill="1" applyBorder="1"/>
    <xf numFmtId="0" fontId="66" fillId="0" borderId="0" xfId="0" applyFont="1" applyBorder="1"/>
    <xf numFmtId="0" fontId="67" fillId="0" borderId="0" xfId="0" applyFont="1" applyBorder="1"/>
    <xf numFmtId="0" fontId="39" fillId="0" borderId="0" xfId="0" applyFont="1" applyBorder="1"/>
    <xf numFmtId="0" fontId="70" fillId="0" borderId="0" xfId="0" applyFont="1" applyFill="1" applyBorder="1"/>
    <xf numFmtId="0" fontId="70" fillId="3" borderId="0" xfId="0" applyFont="1" applyFill="1" applyBorder="1"/>
    <xf numFmtId="0" fontId="46" fillId="3" borderId="0" xfId="0" applyFont="1" applyFill="1" applyBorder="1"/>
    <xf numFmtId="3" fontId="67" fillId="0" borderId="0" xfId="0" applyNumberFormat="1" applyFont="1" applyBorder="1"/>
    <xf numFmtId="0" fontId="69" fillId="0" borderId="0" xfId="0" applyFont="1" applyFill="1" applyBorder="1"/>
    <xf numFmtId="0" fontId="69" fillId="3" borderId="0" xfId="0" applyFont="1" applyFill="1" applyBorder="1"/>
    <xf numFmtId="165" fontId="39" fillId="0" borderId="0" xfId="0" applyNumberFormat="1" applyFont="1" applyBorder="1"/>
    <xf numFmtId="0" fontId="83" fillId="0" borderId="0" xfId="0" applyFont="1"/>
    <xf numFmtId="0" fontId="1" fillId="0" borderId="0" xfId="0" applyFont="1" applyBorder="1"/>
    <xf numFmtId="0" fontId="1" fillId="0" borderId="0" xfId="0" applyFont="1"/>
    <xf numFmtId="0" fontId="53" fillId="0" borderId="3" xfId="0" applyFont="1" applyFill="1" applyBorder="1"/>
    <xf numFmtId="0" fontId="46" fillId="0" borderId="0" xfId="0" applyFont="1" applyAlignment="1">
      <alignment horizontal="center" wrapText="1"/>
    </xf>
    <xf numFmtId="0" fontId="85" fillId="0" borderId="0" xfId="0" applyFont="1" applyAlignment="1">
      <alignment horizontal="center" wrapText="1"/>
    </xf>
    <xf numFmtId="0" fontId="3" fillId="0" borderId="0" xfId="0" applyFont="1" applyFill="1"/>
    <xf numFmtId="165" fontId="64" fillId="0" borderId="0" xfId="0" applyNumberFormat="1" applyFont="1" applyFill="1" applyBorder="1"/>
    <xf numFmtId="0" fontId="87" fillId="0" borderId="0" xfId="0" applyFont="1"/>
    <xf numFmtId="167" fontId="0" fillId="0" borderId="0" xfId="0" applyNumberFormat="1" applyBorder="1"/>
    <xf numFmtId="3" fontId="49" fillId="0" borderId="0" xfId="0" applyNumberFormat="1" applyFont="1" applyFill="1" applyBorder="1"/>
    <xf numFmtId="3" fontId="53" fillId="0" borderId="0" xfId="0" applyNumberFormat="1" applyFont="1"/>
    <xf numFmtId="3" fontId="9" fillId="0" borderId="0" xfId="0" applyNumberFormat="1" applyFont="1" applyBorder="1"/>
    <xf numFmtId="0" fontId="1" fillId="0" borderId="0" xfId="0" applyFont="1" applyFill="1" applyBorder="1"/>
    <xf numFmtId="0" fontId="0" fillId="0" borderId="0" xfId="0" applyFont="1" applyBorder="1"/>
    <xf numFmtId="3" fontId="16" fillId="0" borderId="0" xfId="0" applyNumberFormat="1" applyFont="1"/>
    <xf numFmtId="3" fontId="9" fillId="0" borderId="0" xfId="0" applyNumberFormat="1" applyFont="1" applyFill="1" applyBorder="1"/>
    <xf numFmtId="3" fontId="9" fillId="0" borderId="0" xfId="0" applyNumberFormat="1" applyFont="1" applyBorder="1" applyAlignment="1">
      <alignment vertical="center"/>
    </xf>
    <xf numFmtId="3" fontId="9" fillId="3" borderId="1" xfId="0" applyNumberFormat="1" applyFont="1" applyFill="1" applyBorder="1"/>
    <xf numFmtId="3" fontId="9" fillId="0" borderId="0" xfId="0" applyNumberFormat="1" applyFont="1" applyFill="1"/>
    <xf numFmtId="3" fontId="9" fillId="3" borderId="0" xfId="0" applyNumberFormat="1" applyFont="1" applyFill="1" applyBorder="1"/>
    <xf numFmtId="3" fontId="9" fillId="0" borderId="3" xfId="0" applyNumberFormat="1" applyFont="1" applyFill="1" applyBorder="1"/>
    <xf numFmtId="3" fontId="53" fillId="3" borderId="1" xfId="0" applyNumberFormat="1" applyFont="1" applyFill="1" applyBorder="1"/>
    <xf numFmtId="3" fontId="53" fillId="0" borderId="0" xfId="0" applyNumberFormat="1" applyFont="1" applyFill="1" applyBorder="1"/>
    <xf numFmtId="0" fontId="83" fillId="0" borderId="0" xfId="0" applyFont="1" applyAlignment="1">
      <alignment horizontal="center"/>
    </xf>
    <xf numFmtId="1" fontId="9" fillId="0" borderId="0" xfId="0" applyNumberFormat="1" applyFont="1" applyAlignment="1">
      <alignment horizontal="center"/>
    </xf>
    <xf numFmtId="0" fontId="32" fillId="0" borderId="0" xfId="0" applyFont="1" applyAlignment="1">
      <alignment horizontal="right"/>
    </xf>
    <xf numFmtId="0" fontId="9" fillId="0" borderId="0" xfId="0" applyFont="1" applyAlignment="1"/>
    <xf numFmtId="0" fontId="89" fillId="0" borderId="0" xfId="0" applyFont="1" applyFill="1" applyBorder="1" applyAlignment="1">
      <alignment horizontal="right"/>
    </xf>
    <xf numFmtId="0" fontId="90" fillId="0" borderId="0" xfId="0" applyFont="1" applyFill="1" applyBorder="1" applyAlignment="1"/>
    <xf numFmtId="0" fontId="9" fillId="0" borderId="0" xfId="0" applyFont="1" applyFill="1" applyBorder="1" applyAlignment="1">
      <alignment horizontal="right" vertical="center" wrapText="1"/>
    </xf>
    <xf numFmtId="0" fontId="91" fillId="0" borderId="0" xfId="0" applyFont="1" applyFill="1" applyBorder="1" applyAlignment="1">
      <alignment horizontal="left" vertical="center" wrapText="1"/>
    </xf>
    <xf numFmtId="3" fontId="9" fillId="0" borderId="0" xfId="0" applyNumberFormat="1" applyFont="1" applyFill="1" applyBorder="1" applyAlignment="1">
      <alignment horizontal="right" vertical="center" wrapText="1"/>
    </xf>
    <xf numFmtId="165" fontId="39" fillId="0" borderId="0" xfId="0" applyNumberFormat="1" applyFont="1" applyFill="1" applyBorder="1" applyAlignment="1">
      <alignment horizontal="right" vertical="center" wrapText="1"/>
    </xf>
    <xf numFmtId="3" fontId="53" fillId="0" borderId="0" xfId="0" applyNumberFormat="1" applyFont="1" applyFill="1" applyBorder="1" applyAlignment="1">
      <alignment horizontal="right" vertical="center" wrapText="1"/>
    </xf>
    <xf numFmtId="0" fontId="48" fillId="0" borderId="0" xfId="0" applyFont="1" applyFill="1" applyBorder="1"/>
    <xf numFmtId="0" fontId="93" fillId="0" borderId="0" xfId="0" applyFont="1" applyFill="1" applyBorder="1"/>
    <xf numFmtId="0" fontId="53" fillId="0" borderId="0" xfId="0" applyFont="1" applyAlignment="1">
      <alignment horizontal="center" vertical="center"/>
    </xf>
    <xf numFmtId="0" fontId="0" fillId="0" borderId="0" xfId="0" applyFont="1" applyAlignment="1">
      <alignment horizontal="center" vertical="center" wrapText="1"/>
    </xf>
    <xf numFmtId="0" fontId="44" fillId="0" borderId="0" xfId="0" applyFont="1"/>
    <xf numFmtId="0" fontId="4" fillId="0" borderId="0" xfId="0" applyFont="1" applyAlignment="1">
      <alignment vertical="center" wrapText="1"/>
    </xf>
    <xf numFmtId="3" fontId="4" fillId="0" borderId="0" xfId="0" applyNumberFormat="1" applyFont="1" applyFill="1" applyAlignment="1">
      <alignment horizontal="right" vertical="center" wrapText="1"/>
    </xf>
    <xf numFmtId="3" fontId="0" fillId="0" borderId="0" xfId="0" applyNumberFormat="1" applyFont="1" applyFill="1" applyAlignment="1">
      <alignment horizontal="right" vertical="center" wrapText="1"/>
    </xf>
    <xf numFmtId="3" fontId="9"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0" fontId="4" fillId="0" borderId="0" xfId="0" applyFont="1" applyAlignment="1">
      <alignment vertical="center"/>
    </xf>
    <xf numFmtId="0" fontId="59" fillId="0" borderId="0" xfId="0" applyFont="1" applyAlignment="1">
      <alignment horizontal="center" vertical="center" wrapText="1"/>
    </xf>
    <xf numFmtId="14" fontId="59" fillId="0" borderId="0" xfId="0" applyNumberFormat="1" applyFont="1" applyAlignment="1">
      <alignment horizontal="center" vertical="center" wrapText="1"/>
    </xf>
    <xf numFmtId="3" fontId="3" fillId="0" borderId="0" xfId="0" applyNumberFormat="1" applyFont="1" applyAlignment="1">
      <alignment horizontal="right" vertical="top"/>
    </xf>
    <xf numFmtId="0" fontId="3" fillId="0" borderId="0" xfId="0" applyFont="1" applyAlignment="1">
      <alignment horizontal="right" vertical="center"/>
    </xf>
    <xf numFmtId="3" fontId="3" fillId="0" borderId="0" xfId="0" applyNumberFormat="1" applyFont="1" applyBorder="1" applyAlignment="1">
      <alignment vertical="center"/>
    </xf>
    <xf numFmtId="0" fontId="44" fillId="0" borderId="0" xfId="0" applyFont="1" applyBorder="1"/>
    <xf numFmtId="3" fontId="0" fillId="0" borderId="0" xfId="0" applyNumberFormat="1" applyFont="1" applyAlignment="1">
      <alignment horizontal="center" vertical="center" wrapText="1"/>
    </xf>
    <xf numFmtId="0" fontId="0" fillId="0" borderId="0" xfId="0" applyFont="1" applyAlignment="1">
      <alignment horizontal="right" vertical="center" wrapText="1"/>
    </xf>
    <xf numFmtId="3" fontId="0" fillId="0" borderId="0" xfId="0" applyNumberFormat="1" applyFont="1" applyAlignment="1">
      <alignment horizontal="right" vertical="center" wrapText="1"/>
    </xf>
    <xf numFmtId="0" fontId="9" fillId="0" borderId="0" xfId="0" applyFont="1" applyAlignment="1">
      <alignment vertical="center" wrapText="1"/>
    </xf>
    <xf numFmtId="0" fontId="94" fillId="0" borderId="0" xfId="0" applyFont="1" applyFill="1" applyBorder="1" applyAlignment="1">
      <alignment horizontal="right" vertical="center" wrapText="1"/>
    </xf>
    <xf numFmtId="164" fontId="95" fillId="0" borderId="0" xfId="0" applyNumberFormat="1" applyFont="1" applyFill="1" applyAlignment="1">
      <alignment vertical="center"/>
    </xf>
    <xf numFmtId="0" fontId="53" fillId="0" borderId="0" xfId="0" applyFont="1" applyFill="1" applyBorder="1" applyAlignment="1">
      <alignment horizontal="right" vertical="center" wrapText="1"/>
    </xf>
    <xf numFmtId="0" fontId="53" fillId="0" borderId="0" xfId="0" applyFont="1" applyFill="1" applyBorder="1" applyAlignment="1">
      <alignment vertical="center" wrapText="1"/>
    </xf>
    <xf numFmtId="0" fontId="9" fillId="0" borderId="0" xfId="0" applyFont="1" applyBorder="1" applyAlignment="1">
      <alignment vertical="center" wrapText="1"/>
    </xf>
    <xf numFmtId="0" fontId="53" fillId="0" borderId="0" xfId="0" applyFont="1" applyBorder="1" applyAlignment="1">
      <alignment vertical="center" wrapText="1"/>
    </xf>
    <xf numFmtId="0" fontId="9" fillId="0" borderId="0" xfId="0" applyFont="1" applyAlignment="1">
      <alignment horizontal="right" vertical="center" wrapText="1"/>
    </xf>
    <xf numFmtId="164" fontId="9" fillId="0" borderId="0" xfId="0" applyNumberFormat="1" applyFont="1" applyFill="1" applyAlignment="1">
      <alignment vertical="center"/>
    </xf>
    <xf numFmtId="0" fontId="3" fillId="0" borderId="0" xfId="0" applyFont="1" applyBorder="1" applyAlignment="1">
      <alignment horizontal="left" vertical="center" wrapText="1"/>
    </xf>
    <xf numFmtId="0" fontId="9" fillId="0" borderId="0" xfId="0" applyFont="1" applyBorder="1" applyAlignment="1">
      <alignment horizontal="left" vertical="center" wrapText="1"/>
    </xf>
    <xf numFmtId="167" fontId="9" fillId="0" borderId="0" xfId="1" applyNumberFormat="1" applyFont="1" applyFill="1" applyBorder="1" applyAlignment="1">
      <alignment horizontal="right" vertical="center" wrapText="1"/>
    </xf>
    <xf numFmtId="167" fontId="9" fillId="0" borderId="0" xfId="1" applyNumberFormat="1" applyFont="1" applyAlignment="1">
      <alignment horizontal="right" vertical="center" wrapText="1"/>
    </xf>
    <xf numFmtId="3" fontId="9" fillId="0" borderId="0" xfId="0" applyNumberFormat="1" applyFont="1" applyBorder="1" applyAlignment="1">
      <alignment horizontal="right" vertical="center" wrapText="1"/>
    </xf>
    <xf numFmtId="167" fontId="9" fillId="0" borderId="0" xfId="1" applyNumberFormat="1" applyFont="1" applyBorder="1" applyAlignment="1">
      <alignment horizontal="right" vertical="center" wrapText="1"/>
    </xf>
    <xf numFmtId="0" fontId="9" fillId="0" borderId="0" xfId="0" applyFont="1" applyFill="1" applyBorder="1" applyAlignment="1">
      <alignment horizontal="left" vertical="center" wrapText="1"/>
    </xf>
    <xf numFmtId="166" fontId="9" fillId="0" borderId="0" xfId="0" applyNumberFormat="1" applyFont="1" applyFill="1" applyBorder="1" applyAlignment="1">
      <alignment horizontal="right" vertical="center" wrapText="1"/>
    </xf>
    <xf numFmtId="0" fontId="9" fillId="0" borderId="0" xfId="0" applyFont="1" applyBorder="1" applyAlignment="1">
      <alignment horizontal="left"/>
    </xf>
    <xf numFmtId="0" fontId="9" fillId="0" borderId="0" xfId="0" applyFont="1" applyFill="1" applyBorder="1" applyAlignment="1">
      <alignment horizontal="left"/>
    </xf>
    <xf numFmtId="0" fontId="9" fillId="0" borderId="0" xfId="0" applyFont="1" applyFill="1"/>
    <xf numFmtId="165" fontId="0" fillId="0" borderId="0" xfId="0" applyNumberFormat="1" applyFont="1"/>
    <xf numFmtId="166" fontId="0" fillId="0" borderId="0" xfId="0" applyNumberFormat="1" applyFont="1"/>
    <xf numFmtId="0" fontId="97" fillId="0" borderId="0" xfId="0" applyFont="1" applyBorder="1" applyAlignment="1">
      <alignment vertical="center"/>
    </xf>
    <xf numFmtId="0" fontId="1" fillId="0" borderId="0" xfId="0" applyFont="1" applyBorder="1" applyAlignment="1">
      <alignment vertical="center" wrapText="1"/>
    </xf>
    <xf numFmtId="0" fontId="8" fillId="0" borderId="0" xfId="0" applyFont="1" applyBorder="1"/>
    <xf numFmtId="3" fontId="0" fillId="0" borderId="0" xfId="0" applyNumberFormat="1" applyFont="1" applyAlignment="1">
      <alignment horizontal="center"/>
    </xf>
    <xf numFmtId="0" fontId="0" fillId="0" borderId="0" xfId="0" applyFont="1" applyBorder="1" applyAlignment="1">
      <alignment horizontal="center"/>
    </xf>
    <xf numFmtId="0" fontId="0" fillId="0" borderId="0" xfId="0" applyFont="1" applyFill="1"/>
    <xf numFmtId="0" fontId="0" fillId="0" borderId="4" xfId="0" applyFont="1" applyBorder="1"/>
    <xf numFmtId="3" fontId="0" fillId="0" borderId="5" xfId="0" applyNumberFormat="1" applyFont="1" applyBorder="1"/>
    <xf numFmtId="0" fontId="0" fillId="0" borderId="4" xfId="0" applyFont="1" applyBorder="1" applyAlignment="1">
      <alignment horizontal="left" vertical="top"/>
    </xf>
    <xf numFmtId="0" fontId="98" fillId="0" borderId="0" xfId="0" applyFont="1"/>
    <xf numFmtId="0" fontId="0"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Fill="1" applyAlignment="1">
      <alignment horizontal="right" vertical="center" wrapText="1"/>
    </xf>
    <xf numFmtId="0" fontId="88" fillId="0" borderId="0" xfId="0" applyFont="1"/>
    <xf numFmtId="0" fontId="73" fillId="0" borderId="0" xfId="0" applyFont="1" applyBorder="1" applyAlignment="1"/>
    <xf numFmtId="0" fontId="9" fillId="0" borderId="0" xfId="0" applyFont="1" applyBorder="1" applyAlignment="1"/>
    <xf numFmtId="0" fontId="46" fillId="0" borderId="0" xfId="0" applyFont="1" applyBorder="1" applyAlignment="1"/>
    <xf numFmtId="0" fontId="46" fillId="0" borderId="0" xfId="0" applyFont="1" applyAlignment="1">
      <alignment horizontal="right"/>
    </xf>
    <xf numFmtId="3" fontId="9" fillId="0" borderId="0" xfId="0" applyNumberFormat="1" applyFont="1" applyAlignment="1">
      <alignment horizontal="right"/>
    </xf>
    <xf numFmtId="3" fontId="9" fillId="0" borderId="0" xfId="0" applyNumberFormat="1" applyFont="1" applyAlignment="1"/>
    <xf numFmtId="166" fontId="9" fillId="0" borderId="0" xfId="0" applyNumberFormat="1" applyFont="1" applyAlignment="1"/>
    <xf numFmtId="0" fontId="3" fillId="0" borderId="0" xfId="0" applyFont="1" applyBorder="1" applyAlignment="1"/>
    <xf numFmtId="0" fontId="3" fillId="0" borderId="0" xfId="0" applyFont="1" applyAlignment="1"/>
    <xf numFmtId="0" fontId="9" fillId="0" borderId="0" xfId="0" applyFont="1" applyAlignment="1">
      <alignment vertical="center"/>
    </xf>
    <xf numFmtId="0" fontId="46" fillId="0" borderId="0" xfId="0" applyFont="1" applyAlignment="1">
      <alignment vertical="center"/>
    </xf>
    <xf numFmtId="164" fontId="3" fillId="0" borderId="0" xfId="2" applyNumberFormat="1" applyFont="1" applyFill="1" applyAlignment="1" applyProtection="1">
      <alignment horizontal="right" vertical="center" wrapText="1"/>
      <protection locked="0"/>
    </xf>
    <xf numFmtId="3" fontId="9" fillId="0" borderId="0" xfId="0" applyNumberFormat="1" applyFont="1" applyFill="1" applyAlignment="1">
      <alignment horizontal="right" vertical="center"/>
    </xf>
    <xf numFmtId="3" fontId="9" fillId="0" borderId="0" xfId="0" applyNumberFormat="1" applyFont="1" applyAlignment="1">
      <alignment vertical="center"/>
    </xf>
    <xf numFmtId="0" fontId="63" fillId="0" borderId="0" xfId="0" applyFont="1" applyAlignment="1"/>
    <xf numFmtId="0" fontId="31" fillId="0" borderId="0" xfId="0" applyFont="1" applyAlignment="1"/>
    <xf numFmtId="3" fontId="31" fillId="0" borderId="0" xfId="1" applyNumberFormat="1" applyFont="1" applyFill="1" applyAlignment="1"/>
    <xf numFmtId="3" fontId="31" fillId="0" borderId="0" xfId="0" applyNumberFormat="1" applyFont="1" applyAlignment="1">
      <alignment horizontal="right" vertical="center"/>
    </xf>
    <xf numFmtId="0" fontId="0" fillId="0" borderId="0" xfId="0" applyFont="1" applyBorder="1" applyAlignment="1">
      <alignment vertical="center"/>
    </xf>
    <xf numFmtId="3" fontId="30" fillId="0" borderId="0" xfId="3" applyNumberFormat="1" applyFont="1" applyAlignment="1" applyProtection="1">
      <alignment horizontal="right" vertical="center" wrapText="1"/>
      <protection locked="0"/>
    </xf>
    <xf numFmtId="0" fontId="1" fillId="0" borderId="0" xfId="0" applyFont="1" applyBorder="1" applyAlignment="1">
      <alignment vertical="center"/>
    </xf>
    <xf numFmtId="0" fontId="9" fillId="0" borderId="0" xfId="0" applyFont="1" applyFill="1" applyAlignment="1">
      <alignment horizontal="right"/>
    </xf>
    <xf numFmtId="0" fontId="3" fillId="0" borderId="0" xfId="0" applyFont="1" applyAlignment="1">
      <alignment horizontal="center" vertical="center" wrapText="1"/>
    </xf>
    <xf numFmtId="0" fontId="4" fillId="0" borderId="0" xfId="0" applyFont="1" applyAlignment="1">
      <alignment horizontal="left" vertical="center" wrapText="1"/>
    </xf>
    <xf numFmtId="3" fontId="9" fillId="0" borderId="0" xfId="0" applyNumberFormat="1" applyFont="1" applyFill="1" applyAlignment="1">
      <alignment horizontal="right" vertical="center" wrapText="1"/>
    </xf>
    <xf numFmtId="3" fontId="4" fillId="0" borderId="0" xfId="0" applyNumberFormat="1" applyFont="1" applyAlignment="1">
      <alignment horizontal="right" vertical="center" wrapText="1"/>
    </xf>
    <xf numFmtId="3" fontId="53" fillId="0" borderId="0" xfId="0" applyNumberFormat="1" applyFont="1" applyFill="1" applyAlignment="1">
      <alignment horizontal="right" vertical="center" wrapText="1"/>
    </xf>
    <xf numFmtId="3" fontId="4" fillId="0" borderId="0" xfId="0" applyNumberFormat="1" applyFont="1" applyFill="1" applyAlignment="1">
      <alignment horizontal="center" vertical="center" wrapText="1"/>
    </xf>
    <xf numFmtId="3" fontId="3" fillId="0" borderId="0" xfId="0" applyNumberFormat="1" applyFont="1" applyFill="1" applyAlignment="1">
      <alignment horizontal="right" vertical="center" wrapText="1"/>
    </xf>
    <xf numFmtId="3" fontId="3" fillId="0" borderId="0" xfId="0" applyNumberFormat="1" applyFont="1" applyFill="1" applyAlignment="1">
      <alignment vertical="center" wrapText="1"/>
    </xf>
    <xf numFmtId="0" fontId="0" fillId="0" borderId="0" xfId="0" applyFont="1" applyAlignment="1">
      <alignment horizontal="left"/>
    </xf>
    <xf numFmtId="0" fontId="101" fillId="0" borderId="0" xfId="0" applyFont="1" applyAlignment="1" applyProtection="1">
      <alignment horizontal="left" vertical="top" wrapText="1" readingOrder="1"/>
      <protection locked="0"/>
    </xf>
    <xf numFmtId="1" fontId="69" fillId="0" borderId="0" xfId="0" applyNumberFormat="1" applyFont="1"/>
    <xf numFmtId="0" fontId="102" fillId="0" borderId="0" xfId="0" applyFont="1"/>
    <xf numFmtId="0" fontId="103" fillId="0" borderId="0" xfId="0" applyFont="1"/>
    <xf numFmtId="3" fontId="102" fillId="0" borderId="0" xfId="0" applyNumberFormat="1" applyFont="1"/>
    <xf numFmtId="0" fontId="104" fillId="0" borderId="0" xfId="0" applyFont="1"/>
    <xf numFmtId="3" fontId="103" fillId="0" borderId="0" xfId="0" applyNumberFormat="1" applyFont="1"/>
    <xf numFmtId="1" fontId="103" fillId="0" borderId="0" xfId="0" applyNumberFormat="1" applyFont="1"/>
    <xf numFmtId="1" fontId="102" fillId="0" borderId="0" xfId="0" applyNumberFormat="1" applyFont="1"/>
    <xf numFmtId="1" fontId="9" fillId="0" borderId="0" xfId="0" applyNumberFormat="1" applyFont="1"/>
    <xf numFmtId="3" fontId="31" fillId="0" borderId="0" xfId="0" applyNumberFormat="1" applyFont="1" applyFill="1" applyAlignment="1">
      <alignment horizontal="right" vertical="center" wrapText="1"/>
    </xf>
    <xf numFmtId="3" fontId="1" fillId="0" borderId="0" xfId="0" applyNumberFormat="1" applyFont="1" applyFill="1" applyAlignment="1">
      <alignment horizontal="right" vertical="center" wrapText="1"/>
    </xf>
    <xf numFmtId="3" fontId="16" fillId="0" borderId="0" xfId="0" applyNumberFormat="1" applyFont="1" applyAlignment="1">
      <alignment vertical="center" wrapText="1"/>
    </xf>
    <xf numFmtId="3" fontId="0" fillId="0" borderId="0" xfId="0" applyNumberFormat="1" applyFont="1" applyBorder="1"/>
    <xf numFmtId="3" fontId="0" fillId="0" borderId="0" xfId="0" applyNumberFormat="1" applyFont="1" applyFill="1" applyBorder="1" applyAlignment="1">
      <alignment vertical="center"/>
    </xf>
    <xf numFmtId="3" fontId="0" fillId="0" borderId="0" xfId="0" applyNumberFormat="1" applyFont="1" applyFill="1" applyBorder="1"/>
    <xf numFmtId="3" fontId="0" fillId="0" borderId="0" xfId="0" applyNumberFormat="1" applyFont="1" applyBorder="1" applyAlignment="1">
      <alignment vertical="center"/>
    </xf>
    <xf numFmtId="0" fontId="1" fillId="0" borderId="0" xfId="0" applyFont="1" applyAlignment="1">
      <alignment vertical="center"/>
    </xf>
    <xf numFmtId="0" fontId="0" fillId="0" borderId="3" xfId="0" applyFont="1" applyBorder="1" applyAlignment="1">
      <alignment horizontal="center"/>
    </xf>
    <xf numFmtId="0" fontId="0" fillId="0" borderId="3" xfId="0" applyFont="1" applyBorder="1"/>
    <xf numFmtId="0" fontId="0" fillId="0" borderId="0" xfId="0" applyFont="1" applyAlignment="1"/>
    <xf numFmtId="0" fontId="106" fillId="0" borderId="0" xfId="0" applyFont="1"/>
    <xf numFmtId="0" fontId="0" fillId="4" borderId="0" xfId="0" applyFill="1"/>
    <xf numFmtId="0" fontId="105" fillId="4" borderId="0" xfId="0" applyFont="1" applyFill="1"/>
    <xf numFmtId="0" fontId="107" fillId="4" borderId="0" xfId="0" applyFont="1" applyFill="1" applyAlignment="1"/>
    <xf numFmtId="0" fontId="108" fillId="0" borderId="0" xfId="0" applyFont="1"/>
    <xf numFmtId="0" fontId="109" fillId="0" borderId="0" xfId="0" applyFont="1"/>
    <xf numFmtId="0" fontId="110" fillId="0" borderId="0" xfId="0" applyFont="1"/>
    <xf numFmtId="0" fontId="111" fillId="0" borderId="0" xfId="0" applyFont="1"/>
    <xf numFmtId="0" fontId="112" fillId="0" borderId="0" xfId="5" applyFont="1" applyAlignment="1">
      <alignment horizontal="left"/>
    </xf>
    <xf numFmtId="0" fontId="114" fillId="0" borderId="0" xfId="0" applyFont="1" applyFill="1" applyBorder="1"/>
    <xf numFmtId="0" fontId="114" fillId="0" borderId="0" xfId="0" applyFont="1"/>
    <xf numFmtId="0" fontId="114" fillId="0" borderId="0" xfId="0" applyFont="1" applyFill="1" applyBorder="1" applyAlignment="1">
      <alignment wrapText="1"/>
    </xf>
    <xf numFmtId="0" fontId="113" fillId="0" borderId="0" xfId="0" applyFont="1" applyAlignment="1">
      <alignment horizontal="right"/>
    </xf>
    <xf numFmtId="0" fontId="115" fillId="0" borderId="0" xfId="0" applyFont="1" applyFill="1" applyBorder="1" applyAlignment="1">
      <alignment horizontal="left" vertical="center"/>
    </xf>
    <xf numFmtId="0" fontId="115" fillId="0" borderId="0" xfId="0" applyFont="1" applyFill="1" applyBorder="1" applyAlignment="1">
      <alignment horizontal="left" vertical="center"/>
    </xf>
    <xf numFmtId="0" fontId="0" fillId="0" borderId="0" xfId="0" applyFont="1" applyAlignment="1">
      <alignment horizontal="left"/>
    </xf>
    <xf numFmtId="0" fontId="115" fillId="0" borderId="0" xfId="0" applyFont="1" applyFill="1" applyBorder="1" applyAlignment="1">
      <alignment horizontal="left" vertical="center"/>
    </xf>
    <xf numFmtId="0" fontId="115" fillId="0" borderId="0" xfId="0" applyFont="1" applyFill="1" applyBorder="1" applyAlignment="1">
      <alignment vertical="center"/>
    </xf>
    <xf numFmtId="0" fontId="0" fillId="2" borderId="0" xfId="0" applyFont="1" applyFill="1" applyAlignment="1">
      <alignment vertical="center" wrapText="1"/>
    </xf>
    <xf numFmtId="0" fontId="16" fillId="2" borderId="0" xfId="0" applyFont="1" applyFill="1"/>
    <xf numFmtId="0" fontId="0" fillId="0" borderId="0" xfId="0" applyFont="1" applyFill="1" applyAlignment="1">
      <alignment vertical="center" wrapText="1"/>
    </xf>
    <xf numFmtId="0" fontId="0" fillId="0" borderId="0" xfId="0" applyFont="1" applyFill="1" applyAlignment="1">
      <alignment horizontal="left" vertical="center" wrapText="1"/>
    </xf>
    <xf numFmtId="3" fontId="3" fillId="0" borderId="0" xfId="0" applyNumberFormat="1" applyFont="1" applyFill="1"/>
    <xf numFmtId="0" fontId="53" fillId="0" borderId="0" xfId="0" applyFont="1" applyFill="1" applyBorder="1" applyAlignment="1">
      <alignment horizontal="left"/>
    </xf>
    <xf numFmtId="3" fontId="46" fillId="0" borderId="0" xfId="0" applyNumberFormat="1" applyFont="1" applyFill="1" applyBorder="1" applyAlignment="1">
      <alignment horizontal="right" vertical="center" wrapText="1"/>
    </xf>
    <xf numFmtId="3" fontId="44" fillId="0" borderId="0" xfId="0" applyNumberFormat="1" applyFont="1" applyFill="1" applyBorder="1"/>
    <xf numFmtId="0" fontId="60" fillId="0" borderId="0" xfId="0" applyFont="1" applyFill="1"/>
    <xf numFmtId="3" fontId="45" fillId="0" borderId="0" xfId="0" applyNumberFormat="1" applyFont="1" applyFill="1" applyBorder="1"/>
    <xf numFmtId="0" fontId="3" fillId="0" borderId="0" xfId="0" applyFont="1" applyFill="1" applyBorder="1" applyAlignment="1">
      <alignment vertical="center"/>
    </xf>
    <xf numFmtId="0" fontId="83" fillId="0" borderId="0" xfId="0" applyFont="1" applyFill="1"/>
    <xf numFmtId="0" fontId="53" fillId="0" borderId="0" xfId="0" applyFont="1" applyFill="1" applyBorder="1" applyAlignment="1">
      <alignment horizontal="right" vertical="center" wrapText="1"/>
    </xf>
    <xf numFmtId="0" fontId="9" fillId="0" borderId="0" xfId="0" applyFont="1" applyAlignment="1">
      <alignment horizontal="center"/>
    </xf>
    <xf numFmtId="0" fontId="10" fillId="7" borderId="0" xfId="0" applyFont="1" applyFill="1" applyBorder="1"/>
    <xf numFmtId="0" fontId="11" fillId="7" borderId="0" xfId="0" applyFont="1" applyFill="1" applyBorder="1"/>
    <xf numFmtId="3" fontId="11" fillId="7" borderId="0" xfId="0" applyNumberFormat="1" applyFont="1" applyFill="1" applyBorder="1"/>
    <xf numFmtId="0" fontId="11" fillId="8" borderId="0" xfId="0" applyFont="1" applyFill="1" applyBorder="1"/>
    <xf numFmtId="0" fontId="0" fillId="8" borderId="0" xfId="0" applyFill="1"/>
    <xf numFmtId="0" fontId="116" fillId="7" borderId="0" xfId="0" applyFont="1" applyFill="1" applyBorder="1"/>
    <xf numFmtId="0" fontId="80" fillId="7" borderId="0" xfId="0" applyFont="1" applyFill="1" applyBorder="1"/>
    <xf numFmtId="3" fontId="80" fillId="7" borderId="0" xfId="0" applyNumberFormat="1" applyFont="1" applyFill="1" applyBorder="1"/>
    <xf numFmtId="0" fontId="80" fillId="8" borderId="0" xfId="0" applyFont="1" applyFill="1" applyBorder="1"/>
    <xf numFmtId="0" fontId="9" fillId="8" borderId="0" xfId="0" applyFont="1" applyFill="1"/>
    <xf numFmtId="3" fontId="64" fillId="7" borderId="0" xfId="0" applyNumberFormat="1" applyFont="1" applyFill="1" applyBorder="1"/>
    <xf numFmtId="3" fontId="80" fillId="0" borderId="0" xfId="0" applyNumberFormat="1" applyFont="1" applyFill="1" applyBorder="1" applyAlignment="1">
      <alignment horizontal="right"/>
    </xf>
    <xf numFmtId="3" fontId="80" fillId="0" borderId="0" xfId="0" applyNumberFormat="1" applyFont="1" applyFill="1" applyBorder="1"/>
    <xf numFmtId="0" fontId="0" fillId="8" borderId="0" xfId="0" applyFont="1" applyFill="1" applyBorder="1"/>
    <xf numFmtId="0" fontId="9" fillId="0" borderId="0" xfId="0" applyFont="1" applyBorder="1" applyAlignment="1">
      <alignment horizontal="right" vertical="center" wrapText="1"/>
    </xf>
    <xf numFmtId="165" fontId="9" fillId="0" borderId="0" xfId="0" applyNumberFormat="1" applyFont="1" applyAlignment="1">
      <alignment horizontal="center" vertical="center" wrapText="1"/>
    </xf>
    <xf numFmtId="165" fontId="9" fillId="0" borderId="0" xfId="0" applyNumberFormat="1" applyFont="1" applyAlignment="1">
      <alignment horizontal="center" vertical="center"/>
    </xf>
    <xf numFmtId="165" fontId="9" fillId="0" borderId="0" xfId="0" applyNumberFormat="1" applyFont="1" applyBorder="1" applyAlignment="1">
      <alignment horizontal="center" vertical="center"/>
    </xf>
    <xf numFmtId="0" fontId="59" fillId="8" borderId="0" xfId="0" applyFont="1" applyFill="1"/>
    <xf numFmtId="3" fontId="59" fillId="8" borderId="0" xfId="0" applyNumberFormat="1" applyFont="1" applyFill="1" applyBorder="1"/>
    <xf numFmtId="3" fontId="53" fillId="8" borderId="0" xfId="0" applyNumberFormat="1" applyFont="1" applyFill="1" applyBorder="1" applyAlignment="1">
      <alignment horizontal="right" vertical="center" wrapText="1"/>
    </xf>
    <xf numFmtId="167" fontId="53" fillId="8" borderId="0" xfId="1" applyNumberFormat="1" applyFont="1" applyFill="1" applyBorder="1" applyAlignment="1">
      <alignment horizontal="right" vertical="center" wrapText="1"/>
    </xf>
    <xf numFmtId="166" fontId="53" fillId="8" borderId="0" xfId="0" applyNumberFormat="1" applyFont="1" applyFill="1" applyBorder="1" applyAlignment="1">
      <alignment horizontal="right" vertical="center" wrapText="1"/>
    </xf>
    <xf numFmtId="167" fontId="9" fillId="0" borderId="0" xfId="1" applyNumberFormat="1" applyFont="1" applyBorder="1"/>
    <xf numFmtId="167" fontId="53" fillId="0" borderId="0" xfId="1" quotePrefix="1" applyNumberFormat="1" applyFont="1" applyBorder="1" applyAlignment="1">
      <alignment horizontal="right" vertical="center" wrapText="1"/>
    </xf>
    <xf numFmtId="0" fontId="4" fillId="0" borderId="0" xfId="0" applyFont="1" applyFill="1"/>
    <xf numFmtId="0" fontId="20" fillId="0" borderId="0" xfId="0" applyFont="1" applyFill="1" applyAlignment="1">
      <alignment vertical="center"/>
    </xf>
    <xf numFmtId="0" fontId="25" fillId="0" borderId="0" xfId="0" applyFont="1" applyFill="1"/>
    <xf numFmtId="0" fontId="5" fillId="0" borderId="0" xfId="0" applyFont="1" applyFill="1"/>
    <xf numFmtId="0" fontId="5" fillId="0" borderId="0" xfId="0" applyFont="1" applyFill="1" applyAlignment="1">
      <alignment vertical="center"/>
    </xf>
    <xf numFmtId="0" fontId="5" fillId="0" borderId="0" xfId="0" applyFont="1" applyFill="1" applyBorder="1"/>
    <xf numFmtId="0" fontId="5" fillId="0" borderId="0" xfId="0" applyFont="1" applyFill="1" applyAlignment="1"/>
    <xf numFmtId="165" fontId="0" fillId="0" borderId="0" xfId="0" applyNumberFormat="1" applyFont="1" applyFill="1" applyBorder="1" applyAlignment="1">
      <alignment horizontal="right" vertical="center" wrapText="1"/>
    </xf>
    <xf numFmtId="0" fontId="9" fillId="0" borderId="3" xfId="0" applyFont="1" applyBorder="1"/>
    <xf numFmtId="0" fontId="9" fillId="0" borderId="3" xfId="0" applyFont="1" applyBorder="1" applyAlignment="1">
      <alignment horizontal="center"/>
    </xf>
    <xf numFmtId="0" fontId="53" fillId="8" borderId="0" xfId="0" applyFont="1" applyFill="1"/>
    <xf numFmtId="3" fontId="53" fillId="8" borderId="0" xfId="0" applyNumberFormat="1" applyFont="1" applyFill="1" applyAlignment="1">
      <alignment horizontal="center"/>
    </xf>
    <xf numFmtId="165" fontId="9" fillId="8" borderId="0" xfId="0" applyNumberFormat="1" applyFont="1" applyFill="1" applyAlignment="1">
      <alignment horizontal="center"/>
    </xf>
    <xf numFmtId="165" fontId="9" fillId="0" borderId="0" xfId="0" applyNumberFormat="1" applyFont="1"/>
    <xf numFmtId="0" fontId="9" fillId="0" borderId="0" xfId="0" applyFont="1" applyAlignment="1">
      <alignment horizontal="right" wrapText="1"/>
    </xf>
    <xf numFmtId="0" fontId="9" fillId="0" borderId="0" xfId="0" applyFont="1" applyAlignment="1">
      <alignment horizontal="center" vertical="center" wrapText="1"/>
    </xf>
    <xf numFmtId="0" fontId="53" fillId="0" borderId="0" xfId="0" applyFont="1" applyAlignment="1">
      <alignment horizontal="right" vertical="center" wrapText="1"/>
    </xf>
    <xf numFmtId="166" fontId="9" fillId="0" borderId="0" xfId="0" applyNumberFormat="1" applyFont="1" applyAlignment="1">
      <alignment horizontal="right" vertical="center" wrapText="1"/>
    </xf>
    <xf numFmtId="166" fontId="9" fillId="8" borderId="0" xfId="0" applyNumberFormat="1" applyFont="1" applyFill="1"/>
    <xf numFmtId="0" fontId="53" fillId="0" borderId="0" xfId="0" applyFont="1" applyBorder="1" applyAlignment="1"/>
    <xf numFmtId="0" fontId="102" fillId="0" borderId="0" xfId="0" applyFont="1" applyBorder="1" applyAlignment="1"/>
    <xf numFmtId="0" fontId="9" fillId="0" borderId="0" xfId="0" applyFont="1" applyFill="1" applyBorder="1" applyAlignment="1">
      <alignment wrapText="1"/>
    </xf>
    <xf numFmtId="3" fontId="9" fillId="0" borderId="0" xfId="2" applyNumberFormat="1" applyFont="1" applyFill="1" applyAlignment="1" applyProtection="1">
      <alignment horizontal="right" vertical="center" wrapText="1"/>
      <protection locked="0"/>
    </xf>
    <xf numFmtId="164" fontId="9" fillId="0" borderId="0" xfId="2" applyNumberFormat="1" applyFont="1" applyFill="1" applyAlignment="1" applyProtection="1">
      <alignment horizontal="right" vertical="center" wrapText="1"/>
      <protection locked="0"/>
    </xf>
    <xf numFmtId="3" fontId="9" fillId="0" borderId="0" xfId="3" applyNumberFormat="1" applyFont="1" applyAlignment="1" applyProtection="1">
      <alignment horizontal="right" vertical="center" wrapText="1"/>
      <protection locked="0"/>
    </xf>
    <xf numFmtId="0" fontId="9" fillId="0" borderId="0" xfId="0" applyFont="1" applyFill="1" applyBorder="1" applyAlignment="1">
      <alignment vertical="top" wrapText="1"/>
    </xf>
    <xf numFmtId="3" fontId="9" fillId="0" borderId="0" xfId="0" applyNumberFormat="1" applyFont="1" applyFill="1" applyAlignment="1" applyProtection="1">
      <alignment horizontal="right" vertical="top" wrapText="1" readingOrder="1"/>
      <protection locked="0"/>
    </xf>
    <xf numFmtId="0" fontId="4" fillId="0" borderId="3" xfId="0" applyFont="1" applyFill="1" applyBorder="1" applyAlignment="1">
      <alignment vertical="center"/>
    </xf>
    <xf numFmtId="3" fontId="9" fillId="8" borderId="0" xfId="0" applyNumberFormat="1" applyFont="1" applyFill="1"/>
    <xf numFmtId="1" fontId="9" fillId="8" borderId="0" xfId="0" applyNumberFormat="1" applyFont="1" applyFill="1"/>
    <xf numFmtId="0" fontId="0" fillId="8" borderId="0" xfId="0" applyFont="1" applyFill="1"/>
    <xf numFmtId="0" fontId="53" fillId="8" borderId="0" xfId="0" applyFont="1" applyFill="1" applyBorder="1"/>
    <xf numFmtId="166" fontId="9" fillId="0" borderId="3" xfId="0" applyNumberFormat="1" applyFont="1" applyBorder="1"/>
    <xf numFmtId="0" fontId="102" fillId="0" borderId="0" xfId="0" applyFont="1" applyFill="1" applyBorder="1"/>
    <xf numFmtId="0" fontId="4" fillId="8" borderId="0" xfId="0" applyFont="1" applyFill="1"/>
    <xf numFmtId="170" fontId="9" fillId="0" borderId="0" xfId="0" applyNumberFormat="1" applyFont="1"/>
    <xf numFmtId="3" fontId="9" fillId="0" borderId="3" xfId="0" applyNumberFormat="1" applyFont="1" applyBorder="1"/>
    <xf numFmtId="170" fontId="9" fillId="0" borderId="3" xfId="0" applyNumberFormat="1" applyFont="1" applyBorder="1" applyAlignment="1">
      <alignment horizontal="right"/>
    </xf>
    <xf numFmtId="3" fontId="53" fillId="8" borderId="0" xfId="0" applyNumberFormat="1" applyFont="1" applyFill="1"/>
    <xf numFmtId="0" fontId="0"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Alignment="1">
      <alignment horizontal="right" vertical="center" wrapText="1"/>
    </xf>
    <xf numFmtId="0" fontId="7" fillId="0" borderId="0" xfId="0" applyFont="1" applyFill="1" applyAlignment="1">
      <alignment horizontal="right" vertical="center" wrapText="1"/>
    </xf>
    <xf numFmtId="0" fontId="7" fillId="0" borderId="0" xfId="0" applyFont="1" applyFill="1" applyBorder="1" applyAlignment="1">
      <alignment horizontal="right" vertical="center" wrapText="1"/>
    </xf>
    <xf numFmtId="0" fontId="7" fillId="0" borderId="0" xfId="0" applyFont="1" applyFill="1"/>
    <xf numFmtId="0" fontId="68" fillId="0" borderId="0" xfId="0" applyFont="1"/>
    <xf numFmtId="0" fontId="102" fillId="0" borderId="0" xfId="0" applyFont="1" applyAlignment="1">
      <alignment horizontal="left"/>
    </xf>
    <xf numFmtId="0" fontId="53" fillId="0" borderId="0" xfId="0" applyFont="1" applyAlignment="1">
      <alignment vertical="center"/>
    </xf>
    <xf numFmtId="0" fontId="53" fillId="0" borderId="0" xfId="0" applyFont="1" applyFill="1" applyAlignment="1">
      <alignment horizontal="right" vertical="center"/>
    </xf>
    <xf numFmtId="0" fontId="53" fillId="0" borderId="0" xfId="0" applyFont="1" applyAlignment="1">
      <alignment horizontal="right" vertical="center"/>
    </xf>
    <xf numFmtId="0" fontId="53" fillId="8" borderId="0" xfId="0" applyFont="1" applyFill="1" applyAlignment="1"/>
    <xf numFmtId="164" fontId="9" fillId="8" borderId="0" xfId="2" applyNumberFormat="1" applyFont="1" applyFill="1" applyAlignment="1" applyProtection="1">
      <alignment horizontal="right" vertical="center" wrapText="1"/>
      <protection locked="0"/>
    </xf>
    <xf numFmtId="3" fontId="53" fillId="8" borderId="0" xfId="0" applyNumberFormat="1" applyFont="1" applyFill="1" applyAlignment="1"/>
    <xf numFmtId="0" fontId="0" fillId="8" borderId="3" xfId="0" applyFont="1" applyFill="1" applyBorder="1"/>
    <xf numFmtId="0" fontId="0" fillId="8" borderId="3" xfId="0" applyFont="1" applyFill="1" applyBorder="1" applyAlignment="1">
      <alignment horizontal="center"/>
    </xf>
    <xf numFmtId="0" fontId="0" fillId="8" borderId="3" xfId="0" applyFont="1" applyFill="1" applyBorder="1" applyAlignment="1">
      <alignment horizontal="center" vertical="center"/>
    </xf>
    <xf numFmtId="0" fontId="0" fillId="8" borderId="3" xfId="0" applyFont="1" applyFill="1" applyBorder="1" applyAlignment="1">
      <alignment horizontal="center" wrapText="1"/>
    </xf>
    <xf numFmtId="3" fontId="9" fillId="8" borderId="0" xfId="0" applyNumberFormat="1" applyFont="1" applyFill="1" applyAlignment="1">
      <alignment horizontal="right"/>
    </xf>
    <xf numFmtId="0" fontId="63" fillId="0" borderId="0" xfId="0" applyFont="1" applyBorder="1"/>
    <xf numFmtId="0" fontId="53" fillId="0" borderId="0" xfId="0" applyFont="1" applyFill="1"/>
    <xf numFmtId="0" fontId="102" fillId="0" borderId="0" xfId="0" applyFont="1" applyFill="1"/>
    <xf numFmtId="3" fontId="9" fillId="0" borderId="5" xfId="0" applyNumberFormat="1" applyFont="1" applyFill="1" applyBorder="1"/>
    <xf numFmtId="3" fontId="9" fillId="0" borderId="5" xfId="1" applyNumberFormat="1" applyFont="1" applyBorder="1"/>
    <xf numFmtId="167" fontId="9" fillId="8" borderId="0" xfId="0" applyNumberFormat="1" applyFont="1" applyFill="1" applyBorder="1"/>
    <xf numFmtId="3" fontId="4" fillId="8" borderId="0" xfId="0" applyNumberFormat="1" applyFont="1" applyFill="1"/>
    <xf numFmtId="164" fontId="9" fillId="0" borderId="0" xfId="0" applyNumberFormat="1" applyFont="1" applyFill="1"/>
    <xf numFmtId="0" fontId="31" fillId="0" borderId="0" xfId="0" applyFont="1" applyFill="1"/>
    <xf numFmtId="0" fontId="53" fillId="0" borderId="5" xfId="0" applyFont="1" applyBorder="1"/>
    <xf numFmtId="0" fontId="53" fillId="0" borderId="6" xfId="0" applyFont="1" applyFill="1" applyBorder="1"/>
    <xf numFmtId="0" fontId="53" fillId="0" borderId="5" xfId="0" applyFont="1" applyFill="1" applyBorder="1"/>
    <xf numFmtId="3" fontId="9" fillId="0" borderId="6" xfId="0" applyNumberFormat="1" applyFont="1" applyFill="1" applyBorder="1"/>
    <xf numFmtId="0" fontId="99" fillId="0" borderId="0" xfId="0" applyFont="1" applyBorder="1"/>
    <xf numFmtId="165" fontId="9" fillId="0" borderId="0" xfId="0" applyNumberFormat="1" applyFont="1" applyFill="1"/>
    <xf numFmtId="0" fontId="9" fillId="4" borderId="0" xfId="0" applyFont="1" applyFill="1"/>
    <xf numFmtId="0" fontId="9" fillId="0" borderId="0" xfId="0" applyFont="1" applyFill="1" applyAlignment="1">
      <alignment horizontal="center"/>
    </xf>
    <xf numFmtId="166" fontId="9" fillId="4" borderId="0" xfId="0" applyNumberFormat="1" applyFont="1" applyFill="1"/>
    <xf numFmtId="166" fontId="9" fillId="0" borderId="0" xfId="0" applyNumberFormat="1" applyFont="1" applyFill="1"/>
    <xf numFmtId="0" fontId="8" fillId="0" borderId="0" xfId="0" applyFont="1" applyFill="1"/>
    <xf numFmtId="0" fontId="47" fillId="0" borderId="0" xfId="0" applyFont="1" applyBorder="1"/>
    <xf numFmtId="0" fontId="82" fillId="0" borderId="0" xfId="0" applyFont="1" applyBorder="1"/>
    <xf numFmtId="0" fontId="3" fillId="0" borderId="3" xfId="0" applyFont="1" applyBorder="1"/>
    <xf numFmtId="0" fontId="53" fillId="4" borderId="5" xfId="0" applyFont="1" applyFill="1" applyBorder="1"/>
    <xf numFmtId="0" fontId="115" fillId="0" borderId="0" xfId="0" applyFont="1" applyFill="1" applyBorder="1" applyAlignment="1">
      <alignment horizontal="center" vertical="center"/>
    </xf>
    <xf numFmtId="0" fontId="9" fillId="4" borderId="0" xfId="0" applyFont="1" applyFill="1" applyAlignment="1">
      <alignment horizontal="right"/>
    </xf>
    <xf numFmtId="3" fontId="9" fillId="4" borderId="0" xfId="0" applyNumberFormat="1" applyFont="1" applyFill="1"/>
    <xf numFmtId="0" fontId="53" fillId="0" borderId="0" xfId="0" applyFont="1" applyFill="1" applyBorder="1" applyAlignment="1">
      <alignment horizontal="right" vertical="center" wrapText="1"/>
    </xf>
    <xf numFmtId="167" fontId="117" fillId="8" borderId="0" xfId="1" applyNumberFormat="1" applyFont="1" applyFill="1" applyBorder="1" applyAlignment="1">
      <alignment horizontal="right" wrapText="1"/>
    </xf>
    <xf numFmtId="3" fontId="9" fillId="8" borderId="0" xfId="0" applyNumberFormat="1" applyFont="1" applyFill="1" applyAlignment="1">
      <alignment horizontal="center"/>
    </xf>
    <xf numFmtId="0" fontId="9" fillId="8" borderId="0" xfId="0" applyFont="1" applyFill="1" applyBorder="1" applyAlignment="1">
      <alignment horizontal="center"/>
    </xf>
    <xf numFmtId="3" fontId="9" fillId="8" borderId="0" xfId="0" applyNumberFormat="1" applyFont="1" applyFill="1" applyBorder="1" applyAlignment="1">
      <alignment horizontal="center"/>
    </xf>
    <xf numFmtId="165" fontId="53" fillId="0" borderId="0" xfId="0" applyNumberFormat="1" applyFont="1"/>
    <xf numFmtId="0" fontId="9" fillId="8" borderId="0" xfId="0" applyFont="1" applyFill="1" applyBorder="1" applyAlignment="1"/>
    <xf numFmtId="3" fontId="9" fillId="8" borderId="0" xfId="0" applyNumberFormat="1" applyFont="1" applyFill="1" applyAlignment="1"/>
    <xf numFmtId="166" fontId="9" fillId="8" borderId="0" xfId="0" applyNumberFormat="1" applyFont="1" applyFill="1" applyAlignment="1"/>
    <xf numFmtId="0" fontId="53" fillId="8" borderId="3" xfId="0" applyFont="1" applyFill="1" applyBorder="1"/>
    <xf numFmtId="3" fontId="53" fillId="8" borderId="0" xfId="0" applyNumberFormat="1" applyFont="1" applyFill="1" applyBorder="1"/>
    <xf numFmtId="0" fontId="25" fillId="0" borderId="0" xfId="0" applyFont="1" applyAlignment="1"/>
    <xf numFmtId="0" fontId="53" fillId="0" borderId="0" xfId="0" applyFont="1" applyFill="1" applyAlignment="1">
      <alignment horizontal="center" vertical="center"/>
    </xf>
    <xf numFmtId="167" fontId="9" fillId="0" borderId="0" xfId="1" applyNumberFormat="1" applyFont="1" applyFill="1"/>
    <xf numFmtId="0" fontId="9" fillId="0" borderId="0" xfId="0" applyFont="1" applyFill="1" applyBorder="1" applyAlignment="1"/>
    <xf numFmtId="3" fontId="9" fillId="0" borderId="0" xfId="0" applyNumberFormat="1" applyFont="1" applyFill="1" applyAlignment="1">
      <alignment horizontal="right"/>
    </xf>
    <xf numFmtId="3" fontId="9" fillId="0" borderId="0" xfId="0" applyNumberFormat="1" applyFont="1" applyFill="1" applyAlignment="1"/>
    <xf numFmtId="166" fontId="9" fillId="0" borderId="0" xfId="0" applyNumberFormat="1" applyFont="1" applyFill="1" applyAlignment="1"/>
    <xf numFmtId="3" fontId="0" fillId="0" borderId="0" xfId="0" applyNumberFormat="1" applyFill="1" applyAlignment="1">
      <alignment horizontal="right"/>
    </xf>
    <xf numFmtId="165" fontId="80" fillId="0" borderId="0" xfId="0" applyNumberFormat="1" applyFont="1" applyFill="1" applyBorder="1"/>
    <xf numFmtId="0" fontId="53" fillId="8" borderId="0" xfId="0" applyFont="1" applyFill="1" applyBorder="1" applyAlignment="1">
      <alignment horizontal="left"/>
    </xf>
    <xf numFmtId="0" fontId="68" fillId="8" borderId="0" xfId="0" applyFont="1" applyFill="1"/>
    <xf numFmtId="0" fontId="68" fillId="8" borderId="0" xfId="0" applyFont="1" applyFill="1" applyBorder="1"/>
    <xf numFmtId="3" fontId="7" fillId="0" borderId="0" xfId="0" applyNumberFormat="1" applyFont="1" applyFill="1" applyAlignment="1">
      <alignment horizontal="right" vertical="center" wrapText="1"/>
    </xf>
    <xf numFmtId="0" fontId="59" fillId="0" borderId="0" xfId="0" applyFont="1" applyFill="1"/>
    <xf numFmtId="3" fontId="59" fillId="0" borderId="0" xfId="0" applyNumberFormat="1" applyFont="1" applyFill="1" applyBorder="1"/>
    <xf numFmtId="0" fontId="68" fillId="0" borderId="0" xfId="0" applyFont="1" applyFill="1"/>
    <xf numFmtId="0" fontId="68" fillId="0" borderId="0" xfId="0" applyFont="1" applyFill="1" applyBorder="1"/>
    <xf numFmtId="0" fontId="16" fillId="0" borderId="0" xfId="0" applyFont="1" applyAlignment="1">
      <alignment horizontal="left"/>
    </xf>
    <xf numFmtId="166" fontId="0" fillId="0" borderId="5" xfId="0" applyNumberFormat="1" applyBorder="1"/>
    <xf numFmtId="0" fontId="53" fillId="8" borderId="0" xfId="0" applyFont="1" applyFill="1" applyAlignment="1">
      <alignment horizontal="right"/>
    </xf>
    <xf numFmtId="166" fontId="53" fillId="8" borderId="0" xfId="0" applyNumberFormat="1" applyFont="1" applyFill="1" applyAlignment="1">
      <alignment horizontal="right"/>
    </xf>
    <xf numFmtId="3" fontId="4" fillId="0" borderId="0" xfId="0" applyNumberFormat="1" applyFont="1"/>
    <xf numFmtId="3" fontId="53" fillId="0" borderId="0" xfId="0" applyNumberFormat="1" applyFont="1" applyBorder="1"/>
    <xf numFmtId="165" fontId="0" fillId="0" borderId="0" xfId="0" applyNumberFormat="1" applyFont="1" applyBorder="1"/>
    <xf numFmtId="165" fontId="3" fillId="0" borderId="0" xfId="0" applyNumberFormat="1" applyFont="1" applyBorder="1"/>
    <xf numFmtId="165" fontId="9" fillId="0" borderId="0" xfId="0" applyNumberFormat="1" applyFont="1" applyBorder="1"/>
    <xf numFmtId="165" fontId="53" fillId="0" borderId="0" xfId="0" applyNumberFormat="1" applyFont="1" applyBorder="1"/>
    <xf numFmtId="3" fontId="9" fillId="0" borderId="0" xfId="0" applyNumberFormat="1" applyFont="1" applyBorder="1" applyAlignment="1">
      <alignment horizontal="right"/>
    </xf>
    <xf numFmtId="166" fontId="0" fillId="0" borderId="0" xfId="0" applyNumberFormat="1" applyFont="1" applyAlignment="1">
      <alignment vertical="center"/>
    </xf>
    <xf numFmtId="3" fontId="0" fillId="0" borderId="0" xfId="0" applyNumberFormat="1" applyFont="1" applyAlignment="1">
      <alignment vertical="center"/>
    </xf>
    <xf numFmtId="3" fontId="4" fillId="0" borderId="0" xfId="0" applyNumberFormat="1" applyFont="1" applyAlignment="1">
      <alignment vertical="center"/>
    </xf>
    <xf numFmtId="15" fontId="8" fillId="0" borderId="0" xfId="0" applyNumberFormat="1" applyFont="1"/>
    <xf numFmtId="0" fontId="53" fillId="0" borderId="0" xfId="0" applyFont="1" applyFill="1" applyAlignment="1">
      <alignment wrapText="1"/>
    </xf>
    <xf numFmtId="0" fontId="53" fillId="0" borderId="0" xfId="0" applyFont="1" applyAlignment="1">
      <alignment wrapText="1"/>
    </xf>
    <xf numFmtId="0" fontId="4" fillId="0" borderId="0" xfId="0" applyFont="1" applyAlignment="1">
      <alignment horizontal="right"/>
    </xf>
    <xf numFmtId="166" fontId="9" fillId="0" borderId="0" xfId="4" applyNumberFormat="1" applyFont="1"/>
    <xf numFmtId="3" fontId="0" fillId="0" borderId="0" xfId="0" applyNumberFormat="1" applyFont="1" applyFill="1"/>
    <xf numFmtId="3" fontId="53" fillId="8" borderId="0" xfId="0" applyNumberFormat="1" applyFont="1" applyFill="1" applyAlignment="1">
      <alignment vertical="center"/>
    </xf>
    <xf numFmtId="1" fontId="9" fillId="0" borderId="0" xfId="0" applyNumberFormat="1" applyFont="1" applyFill="1"/>
    <xf numFmtId="0" fontId="53" fillId="0" borderId="3" xfId="0" applyFont="1" applyBorder="1"/>
    <xf numFmtId="0" fontId="53" fillId="0" borderId="3" xfId="0" applyFont="1" applyFill="1" applyBorder="1" applyAlignment="1">
      <alignment horizontal="center" wrapText="1"/>
    </xf>
    <xf numFmtId="166" fontId="53" fillId="0" borderId="1" xfId="4" applyNumberFormat="1" applyFont="1" applyBorder="1"/>
    <xf numFmtId="3" fontId="53" fillId="8" borderId="1" xfId="0" applyNumberFormat="1" applyFont="1" applyFill="1" applyBorder="1"/>
    <xf numFmtId="166" fontId="53" fillId="0" borderId="1" xfId="0" applyNumberFormat="1" applyFont="1" applyBorder="1"/>
    <xf numFmtId="3" fontId="53" fillId="4" borderId="5" xfId="0" applyNumberFormat="1" applyFont="1" applyFill="1" applyBorder="1"/>
    <xf numFmtId="3" fontId="53" fillId="4" borderId="0" xfId="0" applyNumberFormat="1" applyFont="1" applyFill="1"/>
    <xf numFmtId="3" fontId="53" fillId="8" borderId="6" xfId="0" applyNumberFormat="1" applyFont="1" applyFill="1" applyBorder="1" applyAlignment="1">
      <alignment horizontal="right"/>
    </xf>
    <xf numFmtId="3" fontId="53" fillId="8" borderId="6" xfId="0" applyNumberFormat="1" applyFont="1" applyFill="1" applyBorder="1"/>
    <xf numFmtId="0" fontId="53" fillId="0" borderId="0" xfId="0" applyFont="1" applyFill="1" applyAlignment="1">
      <alignment horizontal="right"/>
    </xf>
    <xf numFmtId="0" fontId="0" fillId="8" borderId="0" xfId="0" applyFont="1" applyFill="1" applyAlignment="1">
      <alignment vertical="center" wrapText="1"/>
    </xf>
    <xf numFmtId="1" fontId="53" fillId="8" borderId="1" xfId="0" applyNumberFormat="1" applyFont="1" applyFill="1" applyBorder="1"/>
    <xf numFmtId="1" fontId="53" fillId="8" borderId="0" xfId="0" applyNumberFormat="1" applyFont="1" applyFill="1"/>
    <xf numFmtId="0" fontId="9" fillId="0" borderId="0" xfId="0" applyFont="1" applyFill="1" applyBorder="1" applyAlignment="1">
      <alignment horizontal="right"/>
    </xf>
    <xf numFmtId="166" fontId="9" fillId="0" borderId="0" xfId="0" applyNumberFormat="1" applyFont="1" applyFill="1" applyBorder="1"/>
    <xf numFmtId="1" fontId="9" fillId="0" borderId="0" xfId="0" applyNumberFormat="1" applyFont="1" applyFill="1" applyBorder="1"/>
    <xf numFmtId="0" fontId="4" fillId="0" borderId="0" xfId="0" applyFont="1" applyAlignment="1">
      <alignment horizontal="center"/>
    </xf>
    <xf numFmtId="0" fontId="53" fillId="0" borderId="0" xfId="0" applyNumberFormat="1" applyFont="1" applyBorder="1"/>
    <xf numFmtId="0" fontId="4" fillId="0" borderId="0" xfId="0" applyFont="1" applyFill="1" applyBorder="1"/>
    <xf numFmtId="49" fontId="53" fillId="0" borderId="0" xfId="0" applyNumberFormat="1" applyFont="1" applyBorder="1" applyAlignment="1">
      <alignment horizontal="left"/>
    </xf>
    <xf numFmtId="49" fontId="53" fillId="0" borderId="0" xfId="0" applyNumberFormat="1" applyFont="1" applyBorder="1"/>
    <xf numFmtId="49" fontId="53" fillId="0" borderId="0" xfId="0" applyNumberFormat="1" applyFont="1" applyBorder="1" applyAlignment="1">
      <alignment horizontal="right"/>
    </xf>
    <xf numFmtId="0" fontId="9" fillId="0" borderId="0" xfId="0" applyFont="1" applyFill="1" applyAlignment="1">
      <alignment wrapText="1"/>
    </xf>
    <xf numFmtId="9" fontId="9" fillId="0" borderId="0" xfId="0" applyNumberFormat="1" applyFont="1" applyFill="1"/>
    <xf numFmtId="9" fontId="9" fillId="0" borderId="0" xfId="0" applyNumberFormat="1" applyFont="1"/>
    <xf numFmtId="4" fontId="9" fillId="0" borderId="0" xfId="0" applyNumberFormat="1" applyFont="1" applyFill="1"/>
    <xf numFmtId="0" fontId="9" fillId="0" borderId="0" xfId="0" applyFont="1" applyAlignment="1"/>
    <xf numFmtId="0" fontId="53" fillId="8" borderId="0" xfId="0" applyFont="1" applyFill="1" applyAlignment="1">
      <alignment horizontal="center" vertical="center"/>
    </xf>
    <xf numFmtId="14" fontId="59" fillId="8" borderId="0" xfId="0" applyNumberFormat="1" applyFont="1" applyFill="1" applyAlignment="1">
      <alignment horizontal="center" vertical="center" wrapText="1"/>
    </xf>
    <xf numFmtId="3" fontId="9" fillId="8" borderId="0" xfId="0" applyNumberFormat="1" applyFont="1" applyFill="1" applyBorder="1" applyAlignment="1">
      <alignment horizontal="right" vertical="center" wrapText="1"/>
    </xf>
    <xf numFmtId="0" fontId="53" fillId="8" borderId="0" xfId="0" applyFont="1" applyFill="1" applyBorder="1" applyAlignment="1">
      <alignment horizontal="right" vertical="center" wrapText="1"/>
    </xf>
    <xf numFmtId="3" fontId="0" fillId="0" borderId="0" xfId="0" applyNumberFormat="1" applyFont="1" applyAlignment="1">
      <alignment vertical="center" wrapText="1"/>
    </xf>
    <xf numFmtId="0" fontId="0" fillId="8" borderId="0" xfId="0" applyFont="1" applyFill="1" applyAlignment="1">
      <alignment vertical="center"/>
    </xf>
    <xf numFmtId="0" fontId="0" fillId="0" borderId="3" xfId="0" applyFont="1" applyBorder="1" applyAlignment="1">
      <alignment horizontal="center" vertical="center"/>
    </xf>
    <xf numFmtId="3" fontId="9" fillId="0" borderId="3" xfId="0" applyNumberFormat="1" applyFont="1" applyBorder="1" applyAlignment="1">
      <alignment vertical="center"/>
    </xf>
    <xf numFmtId="3" fontId="46" fillId="0" borderId="0" xfId="0" applyNumberFormat="1" applyFont="1" applyAlignment="1">
      <alignment vertical="center"/>
    </xf>
    <xf numFmtId="3" fontId="3" fillId="0" borderId="3" xfId="0" applyNumberFormat="1" applyFont="1" applyBorder="1"/>
    <xf numFmtId="166" fontId="3" fillId="0" borderId="3" xfId="0" applyNumberFormat="1" applyFont="1" applyBorder="1"/>
    <xf numFmtId="170" fontId="3" fillId="0" borderId="3" xfId="0" applyNumberFormat="1" applyFont="1" applyBorder="1" applyAlignment="1">
      <alignment vertical="center"/>
    </xf>
    <xf numFmtId="0" fontId="0" fillId="0" borderId="0" xfId="0" applyFont="1" applyAlignment="1">
      <alignment horizontal="center"/>
    </xf>
    <xf numFmtId="3" fontId="9" fillId="0" borderId="0" xfId="1" applyNumberFormat="1" applyFont="1" applyAlignment="1"/>
    <xf numFmtId="0" fontId="47" fillId="0" borderId="3" xfId="0" applyFont="1" applyBorder="1"/>
    <xf numFmtId="0" fontId="39" fillId="0" borderId="3" xfId="0" applyFont="1" applyBorder="1"/>
    <xf numFmtId="3" fontId="39" fillId="0" borderId="3" xfId="0" applyNumberFormat="1" applyFont="1" applyBorder="1"/>
    <xf numFmtId="0" fontId="118" fillId="0" borderId="0" xfId="0" applyFont="1" applyAlignment="1">
      <alignment vertical="center"/>
    </xf>
    <xf numFmtId="0" fontId="3" fillId="0" borderId="0" xfId="0" applyFont="1" applyAlignment="1">
      <alignment vertical="center"/>
    </xf>
    <xf numFmtId="0" fontId="0" fillId="0" borderId="0" xfId="0" applyFont="1" applyAlignment="1">
      <alignment horizontal="center" vertical="center"/>
    </xf>
    <xf numFmtId="164" fontId="9" fillId="0" borderId="0" xfId="0" applyNumberFormat="1" applyFont="1" applyAlignment="1">
      <alignment vertical="center"/>
    </xf>
    <xf numFmtId="164" fontId="53" fillId="8" borderId="0" xfId="0" applyNumberFormat="1" applyFont="1" applyFill="1" applyAlignment="1">
      <alignment vertical="center"/>
    </xf>
    <xf numFmtId="0" fontId="53" fillId="0" borderId="0" xfId="0" applyFont="1" applyAlignment="1"/>
    <xf numFmtId="0" fontId="119" fillId="0" borderId="0" xfId="0" applyFont="1"/>
    <xf numFmtId="0" fontId="8" fillId="0" borderId="0" xfId="0" applyFont="1" applyAlignment="1">
      <alignment horizontal="center" wrapText="1"/>
    </xf>
    <xf numFmtId="0" fontId="102" fillId="0" borderId="0" xfId="0" applyFont="1" applyAlignment="1">
      <alignment horizontal="center" wrapText="1"/>
    </xf>
    <xf numFmtId="0" fontId="0" fillId="0" borderId="0" xfId="0" applyFont="1" applyBorder="1" applyAlignment="1">
      <alignment horizontal="left" vertical="center" wrapText="1"/>
    </xf>
    <xf numFmtId="0" fontId="0" fillId="0" borderId="0" xfId="0" applyFont="1" applyBorder="1" applyAlignment="1">
      <alignment horizontal="center"/>
    </xf>
    <xf numFmtId="0" fontId="53" fillId="0" borderId="0" xfId="0" applyFont="1" applyBorder="1" applyAlignment="1">
      <alignment vertical="center"/>
    </xf>
    <xf numFmtId="0" fontId="0" fillId="0" borderId="0" xfId="0" applyFont="1" applyBorder="1" applyAlignment="1">
      <alignment horizontal="right" vertical="center"/>
    </xf>
    <xf numFmtId="167" fontId="53" fillId="0" borderId="0" xfId="1" applyNumberFormat="1" applyFont="1" applyBorder="1" applyAlignment="1">
      <alignment horizontal="right" vertical="center" wrapText="1"/>
    </xf>
    <xf numFmtId="0" fontId="0" fillId="0" borderId="0" xfId="0" applyFont="1" applyBorder="1" applyAlignment="1">
      <alignment vertical="center" wrapText="1"/>
    </xf>
    <xf numFmtId="0" fontId="4" fillId="0" borderId="0" xfId="0" applyFont="1" applyBorder="1" applyAlignment="1">
      <alignment vertical="center" wrapText="1"/>
    </xf>
    <xf numFmtId="167" fontId="53" fillId="0" borderId="0" xfId="1" applyNumberFormat="1" applyFont="1" applyBorder="1" applyAlignment="1">
      <alignment horizontal="right" wrapText="1"/>
    </xf>
    <xf numFmtId="0" fontId="117" fillId="8" borderId="0" xfId="0" applyFont="1" applyFill="1" applyBorder="1" applyAlignment="1">
      <alignment wrapText="1"/>
    </xf>
    <xf numFmtId="0" fontId="4" fillId="8" borderId="0" xfId="0" applyFont="1" applyFill="1" applyBorder="1" applyAlignment="1">
      <alignment wrapText="1"/>
    </xf>
    <xf numFmtId="0" fontId="120" fillId="0" borderId="0" xfId="0" applyFont="1"/>
    <xf numFmtId="4" fontId="9" fillId="0" borderId="0" xfId="0" applyNumberFormat="1" applyFont="1"/>
    <xf numFmtId="4" fontId="0" fillId="0" borderId="0" xfId="0" applyNumberFormat="1" applyFont="1" applyBorder="1"/>
    <xf numFmtId="4" fontId="4" fillId="0" borderId="0" xfId="0" applyNumberFormat="1" applyFont="1" applyFill="1"/>
    <xf numFmtId="4" fontId="0" fillId="0" borderId="0" xfId="0" applyNumberFormat="1" applyFont="1"/>
    <xf numFmtId="0" fontId="0" fillId="0" borderId="3" xfId="0" applyFont="1" applyBorder="1" applyAlignment="1">
      <alignment horizontal="right" wrapText="1"/>
    </xf>
    <xf numFmtId="165" fontId="0" fillId="0" borderId="0" xfId="0" applyNumberFormat="1" applyFont="1" applyAlignment="1">
      <alignment vertical="center"/>
    </xf>
    <xf numFmtId="0" fontId="4" fillId="0" borderId="0" xfId="0" applyFont="1" applyAlignment="1">
      <alignment horizontal="left"/>
    </xf>
    <xf numFmtId="0" fontId="9" fillId="0" borderId="0" xfId="0" applyFont="1" applyFill="1" applyAlignment="1">
      <alignment vertical="center"/>
    </xf>
    <xf numFmtId="0" fontId="53" fillId="8" borderId="0" xfId="0" applyFont="1" applyFill="1" applyAlignment="1">
      <alignment vertical="center"/>
    </xf>
    <xf numFmtId="0" fontId="0" fillId="3" borderId="0" xfId="0" applyFont="1" applyFill="1"/>
    <xf numFmtId="0" fontId="105" fillId="5" borderId="0" xfId="0" applyFont="1" applyFill="1" applyAlignment="1">
      <alignment horizontal="left"/>
    </xf>
    <xf numFmtId="0" fontId="105" fillId="5" borderId="0" xfId="0" applyFont="1" applyFill="1"/>
    <xf numFmtId="0" fontId="105" fillId="0" borderId="0" xfId="0" applyFont="1" applyFill="1" applyAlignment="1">
      <alignment horizontal="left"/>
    </xf>
    <xf numFmtId="0" fontId="105" fillId="0" borderId="0" xfId="0" applyFont="1" applyFill="1"/>
    <xf numFmtId="0" fontId="121" fillId="0" borderId="0" xfId="0" applyFont="1" applyAlignment="1">
      <alignment horizontal="left"/>
    </xf>
    <xf numFmtId="0" fontId="4" fillId="6" borderId="0" xfId="0" applyFont="1" applyFill="1" applyBorder="1"/>
    <xf numFmtId="0" fontId="122" fillId="0" borderId="0" xfId="5" applyFont="1" applyAlignment="1">
      <alignment horizontal="left"/>
    </xf>
    <xf numFmtId="0" fontId="0" fillId="6" borderId="0" xfId="0" applyFont="1" applyFill="1"/>
    <xf numFmtId="0" fontId="0" fillId="0" borderId="0" xfId="0" applyFont="1" applyFill="1" applyBorder="1" applyAlignment="1">
      <alignment wrapText="1"/>
    </xf>
    <xf numFmtId="166" fontId="9" fillId="0" borderId="0" xfId="4" applyNumberFormat="1" applyFont="1" applyFill="1"/>
    <xf numFmtId="166" fontId="0" fillId="0" borderId="0" xfId="0" applyNumberFormat="1" applyFill="1"/>
    <xf numFmtId="166" fontId="0" fillId="0" borderId="5" xfId="0" applyNumberFormat="1" applyFill="1" applyBorder="1"/>
    <xf numFmtId="0" fontId="123" fillId="0" borderId="4" xfId="0" applyFont="1" applyBorder="1"/>
    <xf numFmtId="0" fontId="0" fillId="0" borderId="0" xfId="0" applyAlignment="1">
      <alignment horizontal="left"/>
    </xf>
    <xf numFmtId="0" fontId="0" fillId="0" borderId="0" xfId="0" applyAlignment="1">
      <alignment horizontal="center"/>
    </xf>
    <xf numFmtId="0" fontId="125" fillId="0" borderId="0" xfId="5" applyFont="1"/>
    <xf numFmtId="0" fontId="81" fillId="0" borderId="0" xfId="0" applyFont="1"/>
    <xf numFmtId="0" fontId="126" fillId="0" borderId="0" xfId="0" applyFont="1"/>
    <xf numFmtId="0" fontId="126" fillId="0" borderId="0" xfId="0" applyFont="1" applyAlignment="1"/>
    <xf numFmtId="0" fontId="8" fillId="0" borderId="0" xfId="0" applyFont="1" applyFill="1" applyBorder="1"/>
    <xf numFmtId="3" fontId="8" fillId="0" borderId="0" xfId="0" applyNumberFormat="1" applyFont="1" applyFill="1" applyBorder="1"/>
    <xf numFmtId="0" fontId="8" fillId="0" borderId="0" xfId="0" applyFont="1" applyBorder="1" applyAlignment="1">
      <alignment vertical="center"/>
    </xf>
    <xf numFmtId="0" fontId="102" fillId="0" borderId="0" xfId="0" applyFont="1" applyBorder="1"/>
    <xf numFmtId="0" fontId="129" fillId="0" borderId="0" xfId="0" applyFont="1"/>
    <xf numFmtId="3" fontId="102" fillId="0" borderId="0" xfId="0" applyNumberFormat="1" applyFont="1" applyAlignment="1">
      <alignment horizontal="center"/>
    </xf>
    <xf numFmtId="0" fontId="127" fillId="0" borderId="0" xfId="0" applyFont="1" applyFill="1" applyBorder="1" applyAlignment="1">
      <alignment vertical="center"/>
    </xf>
    <xf numFmtId="0" fontId="102" fillId="0" borderId="0" xfId="0" applyFont="1" applyAlignment="1">
      <alignment horizontal="left" vertical="center" wrapText="1"/>
    </xf>
    <xf numFmtId="0" fontId="8" fillId="0" borderId="0" xfId="0" applyFont="1" applyAlignment="1">
      <alignment horizontal="left" vertical="center" wrapText="1"/>
    </xf>
    <xf numFmtId="0" fontId="79" fillId="0" borderId="0" xfId="0" applyFont="1" applyAlignment="1">
      <alignment horizontal="left" vertical="center" wrapText="1"/>
    </xf>
    <xf numFmtId="0" fontId="131" fillId="0" borderId="0" xfId="0" applyFont="1" applyAlignment="1" applyProtection="1">
      <alignment horizontal="left" vertical="top" wrapText="1" readingOrder="1"/>
      <protection locked="0"/>
    </xf>
    <xf numFmtId="0" fontId="127" fillId="0" borderId="0" xfId="0" applyFont="1" applyFill="1" applyBorder="1" applyAlignment="1">
      <alignment horizontal="left" vertical="center"/>
    </xf>
    <xf numFmtId="0" fontId="1" fillId="0" borderId="0" xfId="0" applyFont="1" applyFill="1"/>
    <xf numFmtId="0" fontId="46" fillId="8" borderId="0" xfId="0" applyFont="1" applyFill="1"/>
    <xf numFmtId="0" fontId="3" fillId="8" borderId="0" xfId="0" applyFont="1" applyFill="1"/>
    <xf numFmtId="0" fontId="30" fillId="8" borderId="0" xfId="0" applyFont="1" applyFill="1" applyAlignment="1">
      <alignment vertical="center"/>
    </xf>
    <xf numFmtId="0" fontId="3" fillId="8" borderId="0" xfId="0" applyFont="1" applyFill="1" applyBorder="1"/>
    <xf numFmtId="0" fontId="0" fillId="0" borderId="0" xfId="0" applyFont="1" applyBorder="1" applyAlignment="1"/>
    <xf numFmtId="167" fontId="102" fillId="0" borderId="0" xfId="0" applyNumberFormat="1" applyFont="1" applyFill="1" applyBorder="1"/>
    <xf numFmtId="0" fontId="102" fillId="0" borderId="0" xfId="0" applyFont="1" applyAlignment="1">
      <alignment vertical="center"/>
    </xf>
    <xf numFmtId="0" fontId="88" fillId="0" borderId="0" xfId="0" applyFont="1" applyFill="1"/>
    <xf numFmtId="0" fontId="0" fillId="0" borderId="0" xfId="0" applyFont="1" applyFill="1" applyAlignment="1">
      <alignment vertical="center"/>
    </xf>
    <xf numFmtId="0" fontId="53" fillId="8" borderId="0"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5" fillId="0" borderId="0" xfId="0" applyFont="1" applyFill="1"/>
    <xf numFmtId="167" fontId="46" fillId="0" borderId="0" xfId="1" applyNumberFormat="1" applyFont="1" applyFill="1" applyBorder="1" applyAlignment="1">
      <alignment horizontal="right" vertical="center" wrapText="1"/>
    </xf>
    <xf numFmtId="166" fontId="46" fillId="0" borderId="0" xfId="0" applyNumberFormat="1" applyFont="1" applyFill="1" applyBorder="1" applyAlignment="1">
      <alignment horizontal="right" vertical="center" wrapText="1"/>
    </xf>
    <xf numFmtId="3" fontId="102" fillId="0" borderId="0" xfId="0" applyNumberFormat="1" applyFont="1" applyFill="1"/>
    <xf numFmtId="3" fontId="0" fillId="8" borderId="0" xfId="0" applyNumberFormat="1" applyFill="1"/>
    <xf numFmtId="0" fontId="0" fillId="0" borderId="0" xfId="0" applyFill="1" applyAlignment="1">
      <alignment horizontal="right"/>
    </xf>
    <xf numFmtId="3" fontId="0" fillId="0" borderId="0" xfId="0" applyNumberFormat="1" applyFill="1"/>
    <xf numFmtId="3" fontId="53" fillId="0" borderId="1" xfId="0" applyNumberFormat="1" applyFont="1" applyFill="1" applyBorder="1"/>
    <xf numFmtId="166" fontId="9" fillId="0" borderId="0" xfId="0" applyNumberFormat="1" applyFont="1" applyFill="1" applyAlignment="1">
      <alignment horizontal="right"/>
    </xf>
    <xf numFmtId="0" fontId="4" fillId="4" borderId="0" xfId="0" applyFont="1" applyFill="1" applyAlignment="1">
      <alignment horizontal="right"/>
    </xf>
    <xf numFmtId="164" fontId="53" fillId="4" borderId="0" xfId="0" applyNumberFormat="1" applyFont="1" applyFill="1"/>
    <xf numFmtId="9" fontId="53" fillId="8" borderId="0" xfId="0" applyNumberFormat="1" applyFont="1" applyFill="1"/>
    <xf numFmtId="166" fontId="53" fillId="8" borderId="0" xfId="0" applyNumberFormat="1" applyFont="1" applyFill="1"/>
    <xf numFmtId="0" fontId="53" fillId="4" borderId="0" xfId="0" applyFont="1" applyFill="1" applyAlignment="1">
      <alignment horizontal="center"/>
    </xf>
    <xf numFmtId="0" fontId="53" fillId="4" borderId="0" xfId="0" applyFont="1" applyFill="1"/>
    <xf numFmtId="0" fontId="4" fillId="4" borderId="0" xfId="0" applyFont="1" applyFill="1"/>
    <xf numFmtId="3" fontId="4" fillId="4" borderId="0" xfId="0" applyNumberFormat="1" applyFont="1" applyFill="1"/>
    <xf numFmtId="0" fontId="4" fillId="8" borderId="0" xfId="0" applyFont="1" applyFill="1" applyBorder="1"/>
    <xf numFmtId="0" fontId="4" fillId="8" borderId="0" xfId="0" applyFont="1" applyFill="1" applyAlignment="1">
      <alignment horizontal="right"/>
    </xf>
    <xf numFmtId="165" fontId="53" fillId="8" borderId="0" xfId="0" applyNumberFormat="1" applyFont="1" applyFill="1"/>
    <xf numFmtId="3" fontId="53" fillId="8" borderId="0" xfId="0" applyNumberFormat="1" applyFont="1" applyFill="1" applyAlignment="1">
      <alignment horizontal="right"/>
    </xf>
    <xf numFmtId="0" fontId="53" fillId="8" borderId="0" xfId="0" applyFont="1" applyFill="1" applyBorder="1" applyAlignment="1">
      <alignment horizontal="right"/>
    </xf>
    <xf numFmtId="166" fontId="53" fillId="8" borderId="0" xfId="0" applyNumberFormat="1" applyFont="1" applyFill="1" applyBorder="1"/>
    <xf numFmtId="3" fontId="9" fillId="8" borderId="0" xfId="0" applyNumberFormat="1" applyFont="1" applyFill="1" applyAlignment="1">
      <alignment horizontal="right" vertical="center"/>
    </xf>
    <xf numFmtId="3" fontId="9" fillId="8" borderId="0" xfId="3" applyNumberFormat="1" applyFont="1" applyFill="1" applyAlignment="1" applyProtection="1">
      <alignment horizontal="right" vertical="center" wrapText="1"/>
      <protection locked="0"/>
    </xf>
    <xf numFmtId="0" fontId="53" fillId="8" borderId="0" xfId="0" applyFont="1" applyFill="1" applyBorder="1" applyAlignment="1"/>
    <xf numFmtId="166" fontId="53" fillId="8" borderId="0" xfId="0" applyNumberFormat="1" applyFont="1" applyFill="1" applyAlignment="1"/>
    <xf numFmtId="4" fontId="53" fillId="8" borderId="0" xfId="0" applyNumberFormat="1" applyFont="1" applyFill="1"/>
    <xf numFmtId="167" fontId="53" fillId="8" borderId="0" xfId="1" applyNumberFormat="1" applyFont="1" applyFill="1"/>
    <xf numFmtId="3" fontId="53" fillId="8" borderId="0" xfId="0" applyNumberFormat="1" applyFont="1" applyFill="1" applyAlignment="1">
      <alignment horizontal="right" vertical="center" wrapText="1"/>
    </xf>
    <xf numFmtId="165" fontId="39" fillId="8" borderId="0" xfId="0" applyNumberFormat="1" applyFont="1" applyFill="1" applyBorder="1" applyAlignment="1">
      <alignment horizontal="right" vertical="center" wrapText="1"/>
    </xf>
    <xf numFmtId="166" fontId="3" fillId="0" borderId="0" xfId="4" applyNumberFormat="1" applyFont="1" applyFill="1"/>
    <xf numFmtId="0" fontId="105" fillId="0" borderId="0" xfId="0" applyFont="1" applyFill="1" applyBorder="1" applyAlignment="1">
      <alignment horizontal="left" vertical="top" wrapText="1"/>
    </xf>
    <xf numFmtId="165" fontId="105" fillId="0" borderId="0" xfId="0" applyNumberFormat="1" applyFont="1" applyFill="1" applyBorder="1" applyAlignment="1">
      <alignment horizontal="left" vertical="top" wrapText="1"/>
    </xf>
    <xf numFmtId="165" fontId="105" fillId="0" borderId="0" xfId="0" applyNumberFormat="1" applyFont="1" applyFill="1" applyBorder="1" applyAlignment="1">
      <alignment horizontal="right"/>
    </xf>
    <xf numFmtId="0" fontId="105" fillId="0" borderId="0" xfId="0" applyFont="1"/>
    <xf numFmtId="0" fontId="135" fillId="0" borderId="0" xfId="0" applyFont="1"/>
    <xf numFmtId="3" fontId="105" fillId="0" borderId="0" xfId="0" applyNumberFormat="1" applyFont="1"/>
    <xf numFmtId="3" fontId="117" fillId="0" borderId="0" xfId="0" applyNumberFormat="1" applyFont="1"/>
    <xf numFmtId="164" fontId="105" fillId="0" borderId="0" xfId="0" applyNumberFormat="1" applyFont="1"/>
    <xf numFmtId="3" fontId="105" fillId="3" borderId="0" xfId="0" applyNumberFormat="1" applyFont="1" applyFill="1"/>
    <xf numFmtId="0" fontId="105" fillId="3" borderId="0" xfId="0" applyFont="1" applyFill="1"/>
    <xf numFmtId="166" fontId="105" fillId="0" borderId="0" xfId="0" applyNumberFormat="1" applyFont="1"/>
    <xf numFmtId="3" fontId="135" fillId="0" borderId="0" xfId="0" applyNumberFormat="1" applyFont="1"/>
    <xf numFmtId="0" fontId="105" fillId="0" borderId="0" xfId="0" applyFont="1" applyAlignment="1">
      <alignment horizontal="right"/>
    </xf>
    <xf numFmtId="165" fontId="105" fillId="0" borderId="0" xfId="0" applyNumberFormat="1" applyFont="1"/>
    <xf numFmtId="165" fontId="105" fillId="0" borderId="0" xfId="0" applyNumberFormat="1" applyFont="1" applyAlignment="1">
      <alignment horizontal="right"/>
    </xf>
    <xf numFmtId="0" fontId="60" fillId="8" borderId="0" xfId="0" applyFont="1" applyFill="1"/>
    <xf numFmtId="0" fontId="60" fillId="8" borderId="0" xfId="0" applyFont="1" applyFill="1" applyBorder="1"/>
    <xf numFmtId="0" fontId="91" fillId="8" borderId="0" xfId="0" applyFont="1" applyFill="1" applyBorder="1" applyAlignment="1">
      <alignment vertical="center"/>
    </xf>
    <xf numFmtId="9" fontId="105" fillId="0" borderId="0" xfId="0" applyNumberFormat="1" applyFont="1"/>
    <xf numFmtId="49" fontId="117" fillId="0" borderId="0" xfId="0" applyNumberFormat="1" applyFont="1"/>
    <xf numFmtId="0" fontId="117" fillId="0" borderId="0" xfId="0" applyFont="1"/>
    <xf numFmtId="0" fontId="136" fillId="0" borderId="0" xfId="0" applyFont="1"/>
    <xf numFmtId="0" fontId="137" fillId="0" borderId="0" xfId="0" applyFont="1"/>
    <xf numFmtId="0" fontId="137" fillId="0" borderId="0" xfId="0" applyFont="1" applyBorder="1"/>
    <xf numFmtId="3" fontId="105" fillId="0" borderId="0" xfId="0" applyNumberFormat="1" applyFont="1" applyAlignment="1">
      <alignment horizontal="right"/>
    </xf>
    <xf numFmtId="0" fontId="117" fillId="3" borderId="0" xfId="0" applyFont="1" applyFill="1"/>
    <xf numFmtId="3" fontId="117" fillId="3" borderId="0" xfId="0" applyNumberFormat="1" applyFont="1" applyFill="1"/>
    <xf numFmtId="3" fontId="117" fillId="3" borderId="0" xfId="0" applyNumberFormat="1" applyFont="1" applyFill="1" applyAlignment="1">
      <alignment horizontal="right"/>
    </xf>
    <xf numFmtId="0" fontId="30" fillId="3" borderId="0" xfId="0" applyFont="1" applyFill="1" applyAlignment="1">
      <alignment horizontal="left"/>
    </xf>
    <xf numFmtId="3" fontId="30" fillId="3" borderId="0" xfId="0" applyNumberFormat="1" applyFont="1" applyFill="1" applyBorder="1"/>
    <xf numFmtId="165" fontId="30" fillId="3" borderId="0" xfId="0" applyNumberFormat="1" applyFont="1" applyFill="1"/>
    <xf numFmtId="0" fontId="139" fillId="3" borderId="0" xfId="0" applyFont="1" applyFill="1" applyAlignment="1">
      <alignment horizontal="left"/>
    </xf>
    <xf numFmtId="3" fontId="139" fillId="3" borderId="0" xfId="0" applyNumberFormat="1" applyFont="1" applyFill="1"/>
    <xf numFmtId="165" fontId="139" fillId="3" borderId="0" xfId="0" applyNumberFormat="1" applyFont="1" applyFill="1"/>
    <xf numFmtId="0" fontId="3" fillId="3" borderId="0" xfId="0" applyFont="1" applyFill="1"/>
    <xf numFmtId="0" fontId="140" fillId="0" borderId="0" xfId="0" applyFont="1" applyBorder="1"/>
    <xf numFmtId="0" fontId="139" fillId="0" borderId="0" xfId="0" applyFont="1" applyBorder="1"/>
    <xf numFmtId="0" fontId="117" fillId="0" borderId="0" xfId="0" applyFont="1" applyFill="1"/>
    <xf numFmtId="3" fontId="105" fillId="0" borderId="0" xfId="0" applyNumberFormat="1" applyFont="1" applyFill="1"/>
    <xf numFmtId="166" fontId="105" fillId="0" borderId="0" xfId="0" applyNumberFormat="1" applyFont="1" applyFill="1"/>
    <xf numFmtId="3" fontId="117" fillId="0" borderId="0" xfId="0" applyNumberFormat="1" applyFont="1" applyFill="1"/>
    <xf numFmtId="166" fontId="117" fillId="0" borderId="0" xfId="0" applyNumberFormat="1" applyFont="1" applyFill="1"/>
    <xf numFmtId="167" fontId="105" fillId="0" borderId="0" xfId="0" applyNumberFormat="1" applyFont="1" applyBorder="1"/>
    <xf numFmtId="0" fontId="105" fillId="0" borderId="0" xfId="0" applyNumberFormat="1" applyFont="1" applyBorder="1"/>
    <xf numFmtId="0" fontId="117" fillId="0" borderId="0" xfId="0" applyFont="1" applyAlignment="1">
      <alignment horizontal="right"/>
    </xf>
    <xf numFmtId="0" fontId="29" fillId="0" borderId="0" xfId="0" applyFont="1" applyAlignment="1"/>
    <xf numFmtId="0" fontId="115" fillId="0" borderId="0" xfId="0" applyFont="1" applyFill="1" applyBorder="1" applyAlignment="1">
      <alignment horizontal="left" vertical="center"/>
    </xf>
    <xf numFmtId="0" fontId="16" fillId="0" borderId="0" xfId="0" applyNumberFormat="1" applyFont="1" applyAlignment="1">
      <alignment vertical="center" wrapText="1"/>
    </xf>
    <xf numFmtId="165" fontId="105" fillId="0" borderId="0" xfId="0" applyNumberFormat="1" applyFont="1" applyFill="1"/>
    <xf numFmtId="0" fontId="105" fillId="0" borderId="0" xfId="0" applyFont="1" applyFill="1" applyAlignment="1" applyProtection="1">
      <alignment vertical="top" wrapText="1" readingOrder="1"/>
      <protection locked="0"/>
    </xf>
    <xf numFmtId="0" fontId="105" fillId="0" borderId="0" xfId="0" applyFont="1" applyFill="1" applyAlignment="1">
      <alignment wrapText="1"/>
    </xf>
    <xf numFmtId="0" fontId="139" fillId="0" borderId="0" xfId="0" applyFont="1" applyFill="1"/>
    <xf numFmtId="3" fontId="105" fillId="0" borderId="0" xfId="1" applyNumberFormat="1" applyFont="1" applyFill="1" applyAlignment="1"/>
    <xf numFmtId="165" fontId="105" fillId="0" borderId="0" xfId="0" applyNumberFormat="1" applyFont="1" applyFill="1" applyAlignment="1"/>
    <xf numFmtId="3" fontId="105" fillId="0" borderId="0" xfId="0" applyNumberFormat="1" applyFont="1" applyFill="1" applyAlignment="1"/>
    <xf numFmtId="3" fontId="117" fillId="0" borderId="0" xfId="0" applyNumberFormat="1" applyFont="1" applyFill="1" applyAlignment="1"/>
    <xf numFmtId="0" fontId="107" fillId="0" borderId="0" xfId="0" applyFont="1" applyBorder="1"/>
    <xf numFmtId="0" fontId="105" fillId="0" borderId="0" xfId="0" applyFont="1" applyBorder="1"/>
    <xf numFmtId="166" fontId="105" fillId="0" borderId="0" xfId="0" applyNumberFormat="1" applyFont="1" applyAlignment="1">
      <alignment horizontal="right"/>
    </xf>
    <xf numFmtId="0" fontId="140" fillId="0" borderId="0" xfId="0" applyFont="1" applyFill="1" applyBorder="1"/>
    <xf numFmtId="3" fontId="140" fillId="0" borderId="0" xfId="0" applyNumberFormat="1" applyFont="1" applyFill="1" applyBorder="1"/>
    <xf numFmtId="3" fontId="139" fillId="0" borderId="0" xfId="0" applyNumberFormat="1" applyFont="1" applyFill="1" applyBorder="1"/>
    <xf numFmtId="0" fontId="139" fillId="0" borderId="0" xfId="0" applyFont="1" applyFill="1" applyBorder="1"/>
    <xf numFmtId="0" fontId="139" fillId="0" borderId="0" xfId="0" applyNumberFormat="1" applyFont="1" applyFill="1" applyBorder="1"/>
    <xf numFmtId="0" fontId="105" fillId="0" borderId="0" xfId="0" applyFont="1" applyFill="1" applyBorder="1"/>
    <xf numFmtId="0" fontId="117" fillId="0" borderId="0" xfId="0" applyNumberFormat="1" applyFont="1" applyFill="1" applyBorder="1"/>
    <xf numFmtId="0" fontId="117" fillId="0" borderId="0" xfId="0" applyFont="1" applyFill="1" applyBorder="1"/>
    <xf numFmtId="3" fontId="105" fillId="0" borderId="0" xfId="0" applyNumberFormat="1" applyFont="1" applyFill="1" applyBorder="1"/>
    <xf numFmtId="3" fontId="117" fillId="0" borderId="0" xfId="0" applyNumberFormat="1" applyFont="1" applyFill="1" applyBorder="1"/>
    <xf numFmtId="0" fontId="105" fillId="0" borderId="0" xfId="0" applyFont="1" applyAlignment="1">
      <alignment horizontal="center"/>
    </xf>
    <xf numFmtId="3" fontId="105" fillId="0" borderId="0" xfId="0" applyNumberFormat="1" applyFont="1" applyAlignment="1">
      <alignment horizontal="center"/>
    </xf>
    <xf numFmtId="1" fontId="105" fillId="0" borderId="0" xfId="0" applyNumberFormat="1" applyFont="1" applyAlignment="1">
      <alignment horizontal="right"/>
    </xf>
    <xf numFmtId="0" fontId="141" fillId="0" borderId="0" xfId="0" applyFont="1"/>
    <xf numFmtId="0" fontId="105" fillId="0" borderId="0" xfId="0" applyFont="1" applyFill="1" applyBorder="1" applyAlignment="1">
      <alignment wrapText="1"/>
    </xf>
    <xf numFmtId="1" fontId="3" fillId="8" borderId="0" xfId="0" applyNumberFormat="1" applyFont="1" applyFill="1"/>
    <xf numFmtId="165" fontId="0" fillId="8" borderId="0" xfId="0" applyNumberFormat="1" applyFont="1" applyFill="1"/>
    <xf numFmtId="0" fontId="142" fillId="0" borderId="0" xfId="0" applyFont="1"/>
    <xf numFmtId="3" fontId="142" fillId="0" borderId="0" xfId="0" applyNumberFormat="1" applyFont="1"/>
    <xf numFmtId="0" fontId="17" fillId="4" borderId="0" xfId="0" applyFont="1" applyFill="1"/>
    <xf numFmtId="49" fontId="107" fillId="4" borderId="0" xfId="0" applyNumberFormat="1" applyFont="1" applyFill="1" applyAlignment="1">
      <alignment horizontal="left"/>
    </xf>
    <xf numFmtId="0" fontId="124" fillId="0" borderId="0" xfId="0" applyFont="1" applyAlignment="1">
      <alignment horizontal="left" vertical="center"/>
    </xf>
    <xf numFmtId="0" fontId="119" fillId="0" borderId="0" xfId="0" applyFont="1" applyAlignment="1">
      <alignment horizontal="left" vertical="center"/>
    </xf>
    <xf numFmtId="0" fontId="0" fillId="0" borderId="0" xfId="0" applyFont="1" applyAlignment="1">
      <alignment horizontal="left" vertical="center"/>
    </xf>
    <xf numFmtId="0" fontId="11" fillId="0" borderId="0" xfId="0" applyFont="1" applyFill="1" applyBorder="1" applyAlignment="1">
      <alignment horizontal="left"/>
    </xf>
    <xf numFmtId="0" fontId="128" fillId="0" borderId="0" xfId="0" applyFont="1" applyFill="1" applyBorder="1" applyAlignment="1">
      <alignment horizontal="left"/>
    </xf>
    <xf numFmtId="0" fontId="127" fillId="0" borderId="0" xfId="0" applyFont="1" applyFill="1" applyBorder="1" applyAlignment="1">
      <alignment horizontal="left" vertical="center"/>
    </xf>
    <xf numFmtId="0" fontId="53" fillId="8" borderId="2" xfId="0" applyFont="1" applyFill="1" applyBorder="1" applyAlignment="1">
      <alignment horizontal="left" vertical="center" wrapText="1"/>
    </xf>
    <xf numFmtId="0" fontId="53" fillId="8" borderId="0" xfId="0" applyFont="1" applyFill="1" applyBorder="1" applyAlignment="1">
      <alignment horizontal="left" vertical="center" wrapText="1"/>
    </xf>
    <xf numFmtId="0" fontId="115" fillId="0" borderId="0" xfId="0" applyFont="1" applyFill="1" applyBorder="1" applyAlignment="1">
      <alignment horizontal="left" vertical="center"/>
    </xf>
    <xf numFmtId="0" fontId="92" fillId="0" borderId="0" xfId="0" applyFont="1" applyFill="1" applyBorder="1" applyAlignment="1">
      <alignment horizontal="left" vertical="center" wrapText="1"/>
    </xf>
    <xf numFmtId="0" fontId="91" fillId="8" borderId="0" xfId="0" applyFont="1" applyFill="1" applyBorder="1" applyAlignment="1">
      <alignment horizontal="left" vertical="center" wrapText="1"/>
    </xf>
    <xf numFmtId="0" fontId="53" fillId="0" borderId="2"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4" fillId="0" borderId="0" xfId="0" applyFont="1" applyAlignment="1">
      <alignment horizontal="left" vertical="center" wrapText="1"/>
    </xf>
    <xf numFmtId="0" fontId="0" fillId="0" borderId="0" xfId="0" applyFont="1" applyAlignment="1">
      <alignment horizontal="left" vertical="center" wrapText="1"/>
    </xf>
    <xf numFmtId="0" fontId="53" fillId="2" borderId="0" xfId="0" applyFont="1" applyFill="1" applyAlignment="1">
      <alignment horizontal="left" vertical="center" wrapText="1"/>
    </xf>
    <xf numFmtId="0" fontId="9" fillId="0" borderId="0" xfId="0" applyFont="1" applyAlignment="1">
      <alignment horizontal="left" vertical="center" wrapText="1"/>
    </xf>
    <xf numFmtId="0" fontId="68" fillId="0" borderId="0" xfId="0" applyFont="1" applyAlignment="1">
      <alignment horizontal="left" vertical="center" wrapText="1"/>
    </xf>
    <xf numFmtId="0" fontId="0" fillId="0" borderId="0" xfId="0" applyFont="1" applyFill="1" applyAlignment="1">
      <alignment horizontal="left" vertical="center" wrapText="1"/>
    </xf>
    <xf numFmtId="0" fontId="0" fillId="0" borderId="0" xfId="0" applyFont="1" applyBorder="1" applyAlignment="1">
      <alignment horizontal="left" vertical="center" wrapText="1"/>
    </xf>
    <xf numFmtId="0" fontId="4" fillId="0" borderId="0" xfId="0" applyFont="1" applyAlignment="1">
      <alignment horizontal="left" vertical="center"/>
    </xf>
    <xf numFmtId="0" fontId="128" fillId="0" borderId="0" xfId="0" applyFont="1" applyFill="1" applyBorder="1" applyAlignment="1">
      <alignment horizontal="left" wrapText="1"/>
    </xf>
    <xf numFmtId="0" fontId="128" fillId="0" borderId="0" xfId="0" applyFont="1" applyBorder="1" applyAlignment="1">
      <alignment horizontal="left" wrapText="1"/>
    </xf>
    <xf numFmtId="0" fontId="53" fillId="0" borderId="0" xfId="0" applyFont="1" applyFill="1" applyBorder="1" applyAlignment="1">
      <alignment horizontal="right" vertical="center" wrapText="1"/>
    </xf>
    <xf numFmtId="0" fontId="93" fillId="0" borderId="0" xfId="0" applyFont="1" applyFill="1" applyBorder="1" applyAlignment="1">
      <alignment horizontal="left" wrapText="1"/>
    </xf>
    <xf numFmtId="0" fontId="117" fillId="2" borderId="0" xfId="0" applyFont="1" applyFill="1" applyBorder="1" applyAlignment="1">
      <alignment horizontal="left" vertical="center" wrapText="1"/>
    </xf>
    <xf numFmtId="0" fontId="53" fillId="2" borderId="0" xfId="0" applyFont="1" applyFill="1" applyBorder="1" applyAlignment="1">
      <alignment horizontal="left" vertical="center" wrapText="1"/>
    </xf>
    <xf numFmtId="0" fontId="4"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xf numFmtId="0" fontId="9" fillId="0" borderId="0" xfId="0" applyFont="1" applyBorder="1" applyAlignment="1">
      <alignment vertical="center" wrapText="1"/>
    </xf>
    <xf numFmtId="0" fontId="9" fillId="0" borderId="0" xfId="0" applyFont="1" applyAlignment="1"/>
    <xf numFmtId="0" fontId="4" fillId="0" borderId="0" xfId="0" applyFont="1" applyBorder="1" applyAlignment="1">
      <alignment wrapText="1"/>
    </xf>
    <xf numFmtId="0" fontId="4" fillId="0" borderId="0" xfId="0" applyFont="1" applyBorder="1" applyAlignment="1">
      <alignment horizontal="left" vertical="center" wrapText="1"/>
    </xf>
    <xf numFmtId="0" fontId="0" fillId="0" borderId="0" xfId="0" applyFont="1" applyBorder="1" applyAlignment="1">
      <alignment horizontal="right" vertical="center" wrapText="1"/>
    </xf>
    <xf numFmtId="0" fontId="53" fillId="0" borderId="0" xfId="0" applyFont="1" applyAlignment="1">
      <alignment horizontal="center"/>
    </xf>
    <xf numFmtId="0" fontId="53" fillId="0" borderId="0" xfId="0" applyFont="1" applyFill="1" applyAlignment="1">
      <alignment horizontal="center" vertical="center" wrapText="1"/>
    </xf>
    <xf numFmtId="0" fontId="8" fillId="0" borderId="0" xfId="0" applyFont="1" applyAlignment="1">
      <alignment horizontal="left" vertical="center" wrapText="1"/>
    </xf>
    <xf numFmtId="0" fontId="100" fillId="0" borderId="3" xfId="0" applyFont="1" applyFill="1" applyBorder="1" applyAlignment="1">
      <alignment horizontal="center" vertical="center" wrapText="1"/>
    </xf>
    <xf numFmtId="0" fontId="53" fillId="0" borderId="0" xfId="0" applyFont="1" applyAlignment="1" applyProtection="1">
      <alignment horizontal="left" vertical="top" wrapText="1" readingOrder="1"/>
      <protection locked="0"/>
    </xf>
    <xf numFmtId="0" fontId="9" fillId="0" borderId="0" xfId="0" applyFont="1" applyAlignment="1">
      <alignment horizontal="left"/>
    </xf>
    <xf numFmtId="0" fontId="37" fillId="0" borderId="0" xfId="0" applyFont="1" applyAlignment="1" applyProtection="1">
      <alignment horizontal="left" vertical="top" wrapText="1" readingOrder="1"/>
      <protection locked="0"/>
    </xf>
    <xf numFmtId="0" fontId="0" fillId="0" borderId="0" xfId="0" applyAlignment="1">
      <alignment horizontal="left"/>
    </xf>
    <xf numFmtId="0" fontId="8" fillId="0" borderId="0" xfId="0" applyFont="1" applyAlignment="1">
      <alignment horizontal="left" vertical="top" wrapText="1"/>
    </xf>
    <xf numFmtId="0" fontId="8" fillId="0" borderId="0" xfId="0" applyFont="1" applyFill="1" applyBorder="1" applyAlignment="1">
      <alignment horizontal="left" wrapText="1"/>
    </xf>
    <xf numFmtId="0" fontId="0" fillId="0" borderId="0" xfId="0" applyFont="1" applyBorder="1" applyAlignment="1">
      <alignment horizontal="center" wrapText="1"/>
    </xf>
    <xf numFmtId="0" fontId="0" fillId="0" borderId="0" xfId="0" applyFont="1" applyBorder="1" applyAlignment="1">
      <alignment horizontal="center"/>
    </xf>
    <xf numFmtId="0" fontId="0" fillId="0" borderId="0" xfId="0" applyBorder="1" applyAlignment="1">
      <alignment horizontal="left"/>
    </xf>
    <xf numFmtId="0" fontId="0" fillId="0" borderId="0" xfId="0" applyBorder="1" applyAlignment="1">
      <alignment horizontal="right"/>
    </xf>
    <xf numFmtId="0" fontId="53" fillId="0" borderId="0" xfId="0" applyFont="1" applyFill="1" applyBorder="1" applyAlignment="1">
      <alignment horizontal="center"/>
    </xf>
    <xf numFmtId="0" fontId="53" fillId="8" borderId="0" xfId="0" applyFont="1" applyFill="1" applyBorder="1" applyAlignment="1">
      <alignment horizontal="center"/>
    </xf>
    <xf numFmtId="0" fontId="134" fillId="0" borderId="0" xfId="0" applyFont="1" applyFill="1" applyBorder="1" applyAlignment="1">
      <alignment horizontal="left" vertical="center"/>
    </xf>
    <xf numFmtId="0" fontId="53" fillId="0" borderId="0" xfId="0" applyFont="1" applyAlignment="1">
      <alignment horizontal="left" wrapText="1"/>
    </xf>
    <xf numFmtId="0" fontId="0" fillId="0" borderId="3" xfId="0" applyFont="1" applyBorder="1" applyAlignment="1">
      <alignment horizontal="right" wrapText="1"/>
    </xf>
    <xf numFmtId="0" fontId="4" fillId="0" borderId="0" xfId="0" applyFont="1" applyAlignment="1">
      <alignment horizontal="center"/>
    </xf>
    <xf numFmtId="0" fontId="4" fillId="0" borderId="0" xfId="0" applyFont="1" applyAlignment="1"/>
    <xf numFmtId="0" fontId="0" fillId="0" borderId="0" xfId="0" applyAlignment="1">
      <alignment horizontal="center"/>
    </xf>
    <xf numFmtId="0" fontId="9" fillId="0" borderId="0" xfId="0" applyFont="1" applyAlignment="1">
      <alignment horizontal="center"/>
    </xf>
    <xf numFmtId="3" fontId="0" fillId="0" borderId="0" xfId="0" applyNumberFormat="1" applyFont="1" applyAlignment="1">
      <alignment horizontal="left" vertical="center" wrapText="1"/>
    </xf>
    <xf numFmtId="3" fontId="0" fillId="0" borderId="0" xfId="0" applyNumberFormat="1" applyFont="1" applyAlignment="1">
      <alignment horizontal="left" vertical="center"/>
    </xf>
    <xf numFmtId="3" fontId="0" fillId="0" borderId="0" xfId="0" applyNumberFormat="1" applyFont="1" applyAlignment="1">
      <alignment horizontal="left" wrapText="1"/>
    </xf>
  </cellXfs>
  <cellStyles count="6">
    <cellStyle name="Komma" xfId="1" builtinId="3"/>
    <cellStyle name="Link" xfId="5" builtinId="8"/>
    <cellStyle name="Prozent" xfId="4" builtinId="5"/>
    <cellStyle name="Standard" xfId="0" builtinId="0"/>
    <cellStyle name="Standard 2" xfId="2" xr:uid="{00000000-0005-0000-0000-000004000000}"/>
    <cellStyle name="Standard 3" xfId="3" xr:uid="{00000000-0005-0000-0000-000005000000}"/>
  </cellStyles>
  <dxfs count="0"/>
  <tableStyles count="0" defaultTableStyle="TableStyleMedium2" defaultPivotStyle="PivotStyleLight16"/>
  <colors>
    <mruColors>
      <color rgb="FFE30613"/>
      <color rgb="FFD0D0D0"/>
      <color rgb="FF3C744F"/>
      <color rgb="FFBBB713"/>
      <color rgb="FFC3510B"/>
      <color rgb="FF9D9D9C"/>
      <color rgb="FF0070C0"/>
      <color rgb="FF009EE0"/>
      <color rgb="FF646363"/>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pieChart>
        <c:varyColors val="1"/>
        <c:ser>
          <c:idx val="0"/>
          <c:order val="0"/>
          <c:spPr>
            <a:solidFill>
              <a:schemeClr val="bg1">
                <a:lumMod val="65000"/>
              </a:schemeClr>
            </a:solidFill>
          </c:spPr>
          <c:dPt>
            <c:idx val="0"/>
            <c:bubble3D val="0"/>
            <c:explosion val="3"/>
            <c:spPr>
              <a:solidFill>
                <a:schemeClr val="bg1">
                  <a:lumMod val="65000"/>
                </a:schemeClr>
              </a:solidFill>
              <a:ln w="19050">
                <a:solidFill>
                  <a:schemeClr val="lt1"/>
                </a:solidFill>
              </a:ln>
              <a:effectLst/>
            </c:spPr>
            <c:extLst>
              <c:ext xmlns:c16="http://schemas.microsoft.com/office/drawing/2014/chart" uri="{C3380CC4-5D6E-409C-BE32-E72D297353CC}">
                <c16:uniqueId val="{00000001-4F9B-4A3F-AB7A-50A882F94A4B}"/>
              </c:ext>
            </c:extLst>
          </c:dPt>
          <c:dPt>
            <c:idx val="1"/>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03-4F9B-4A3F-AB7A-50A882F94A4B}"/>
              </c:ext>
            </c:extLst>
          </c:dPt>
          <c:dPt>
            <c:idx val="2"/>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05-4F9B-4A3F-AB7A-50A882F94A4B}"/>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4F9B-4A3F-AB7A-50A882F94A4B}"/>
              </c:ext>
            </c:extLst>
          </c:dPt>
          <c:dPt>
            <c:idx val="4"/>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09-4F9B-4A3F-AB7A-50A882F94A4B}"/>
              </c:ext>
            </c:extLst>
          </c:dPt>
          <c:dPt>
            <c:idx val="5"/>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0B-4F9B-4A3F-AB7A-50A882F94A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Landesfläche!$A$30:$F$30</c:f>
              <c:strCache>
                <c:ptCount val="6"/>
                <c:pt idx="0">
                  <c:v>Alpen</c:v>
                </c:pt>
                <c:pt idx="1">
                  <c:v>Baufläche u. Garten</c:v>
                </c:pt>
                <c:pt idx="2">
                  <c:v>Gewässer</c:v>
                </c:pt>
                <c:pt idx="3">
                  <c:v>Landwirt. Genutzt</c:v>
                </c:pt>
                <c:pt idx="4">
                  <c:v>Sonstige</c:v>
                </c:pt>
                <c:pt idx="5">
                  <c:v>Wald</c:v>
                </c:pt>
              </c:strCache>
            </c:strRef>
          </c:cat>
          <c:val>
            <c:numRef>
              <c:f>Landesfläche!$A$31:$F$31</c:f>
              <c:numCache>
                <c:formatCode>0.0%</c:formatCode>
                <c:ptCount val="6"/>
                <c:pt idx="0">
                  <c:v>0.23300000000000001</c:v>
                </c:pt>
                <c:pt idx="1">
                  <c:v>3.7999999999999999E-2</c:v>
                </c:pt>
                <c:pt idx="2">
                  <c:v>2.8000000000000001E-2</c:v>
                </c:pt>
                <c:pt idx="3">
                  <c:v>0.157</c:v>
                </c:pt>
                <c:pt idx="4">
                  <c:v>0.185</c:v>
                </c:pt>
                <c:pt idx="5">
                  <c:v>0.36</c:v>
                </c:pt>
              </c:numCache>
            </c:numRef>
          </c:val>
          <c:extLst>
            <c:ext xmlns:c16="http://schemas.microsoft.com/office/drawing/2014/chart" uri="{C3380CC4-5D6E-409C-BE32-E72D297353CC}">
              <c16:uniqueId val="{00000000-15FD-4D5D-96DB-AC00EC079FD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de-AT" sz="1100"/>
              <a:t>Kammermitglieder</a:t>
            </a:r>
            <a:r>
              <a:rPr lang="de-AT" sz="1100" baseline="0"/>
              <a:t> nach Bezirken per 31.12.2023</a:t>
            </a:r>
            <a:endParaRPr lang="de-AT" sz="1100"/>
          </a:p>
        </c:rich>
      </c:tx>
      <c:overlay val="0"/>
    </c:title>
    <c:autoTitleDeleted val="0"/>
    <c:plotArea>
      <c:layout/>
      <c:pieChart>
        <c:varyColors val="1"/>
        <c:ser>
          <c:idx val="0"/>
          <c:order val="0"/>
          <c:spPr>
            <a:solidFill>
              <a:srgbClr val="FF0000"/>
            </a:solidFill>
          </c:spPr>
          <c:dPt>
            <c:idx val="0"/>
            <c:bubble3D val="0"/>
            <c:spPr>
              <a:solidFill>
                <a:schemeClr val="tx1">
                  <a:lumMod val="50000"/>
                  <a:lumOff val="50000"/>
                </a:schemeClr>
              </a:solidFill>
            </c:spPr>
            <c:extLst>
              <c:ext xmlns:c16="http://schemas.microsoft.com/office/drawing/2014/chart" uri="{C3380CC4-5D6E-409C-BE32-E72D297353CC}">
                <c16:uniqueId val="{00000000-0CA4-4448-9672-4B2C0DD5EAC8}"/>
              </c:ext>
            </c:extLst>
          </c:dPt>
          <c:dPt>
            <c:idx val="1"/>
            <c:bubble3D val="0"/>
            <c:explosion val="2"/>
            <c:extLst>
              <c:ext xmlns:c16="http://schemas.microsoft.com/office/drawing/2014/chart" uri="{C3380CC4-5D6E-409C-BE32-E72D297353CC}">
                <c16:uniqueId val="{00000001-0CA4-4448-9672-4B2C0DD5EAC8}"/>
              </c:ext>
            </c:extLst>
          </c:dPt>
          <c:dPt>
            <c:idx val="2"/>
            <c:bubble3D val="0"/>
            <c:spPr>
              <a:solidFill>
                <a:schemeClr val="accent1">
                  <a:lumMod val="75000"/>
                </a:schemeClr>
              </a:solidFill>
            </c:spPr>
            <c:extLst>
              <c:ext xmlns:c16="http://schemas.microsoft.com/office/drawing/2014/chart" uri="{C3380CC4-5D6E-409C-BE32-E72D297353CC}">
                <c16:uniqueId val="{00000002-0CA4-4448-9672-4B2C0DD5EAC8}"/>
              </c:ext>
            </c:extLst>
          </c:dPt>
          <c:dPt>
            <c:idx val="3"/>
            <c:bubble3D val="0"/>
            <c:spPr>
              <a:solidFill>
                <a:schemeClr val="accent3">
                  <a:lumMod val="50000"/>
                </a:schemeClr>
              </a:solidFill>
            </c:spPr>
            <c:extLst>
              <c:ext xmlns:c16="http://schemas.microsoft.com/office/drawing/2014/chart" uri="{C3380CC4-5D6E-409C-BE32-E72D297353CC}">
                <c16:uniqueId val="{00000006-8087-48FF-82CF-65779EBCF193}"/>
              </c:ext>
            </c:extLst>
          </c:dPt>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'Reg Besch gew Wirtschaft'!$A$23:$A$26</c:f>
              <c:strCache>
                <c:ptCount val="4"/>
                <c:pt idx="0">
                  <c:v>Bezirk Bludenz</c:v>
                </c:pt>
                <c:pt idx="1">
                  <c:v>Bezirk Bregenz</c:v>
                </c:pt>
                <c:pt idx="2">
                  <c:v>Bezirk Dornbirn</c:v>
                </c:pt>
                <c:pt idx="3">
                  <c:v>Bezirk Feldkirch</c:v>
                </c:pt>
              </c:strCache>
            </c:strRef>
          </c:cat>
          <c:val>
            <c:numRef>
              <c:f>'Reg Besch gew Wirtschaft'!$L$23:$L$26</c:f>
              <c:numCache>
                <c:formatCode>0%</c:formatCode>
                <c:ptCount val="4"/>
                <c:pt idx="0">
                  <c:v>0.16900644286198713</c:v>
                </c:pt>
                <c:pt idx="1">
                  <c:v>0.34238724991522551</c:v>
                </c:pt>
                <c:pt idx="2">
                  <c:v>0.23601220752797558</c:v>
                </c:pt>
                <c:pt idx="3">
                  <c:v>0.25256018989487961</c:v>
                </c:pt>
              </c:numCache>
            </c:numRef>
          </c:val>
          <c:extLst>
            <c:ext xmlns:c16="http://schemas.microsoft.com/office/drawing/2014/chart" uri="{C3380CC4-5D6E-409C-BE32-E72D297353CC}">
              <c16:uniqueId val="{00000000-7594-4DF3-BA6D-B8697EFC3A69}"/>
            </c:ext>
          </c:extLst>
        </c:ser>
        <c:dLbls>
          <c:dLblPos val="outEnd"/>
          <c:showLegendKey val="0"/>
          <c:showVal val="1"/>
          <c:showCatName val="0"/>
          <c:showSerName val="0"/>
          <c:showPercent val="0"/>
          <c:showBubbleSize val="0"/>
          <c:showLeaderLines val="1"/>
        </c:dLbls>
        <c:firstSliceAng val="0"/>
      </c:pieChart>
    </c:plotArea>
    <c:legend>
      <c:legendPos val="r"/>
      <c:overlay val="0"/>
      <c:txPr>
        <a:bodyPr/>
        <a:lstStyle/>
        <a:p>
          <a:pPr>
            <a:defRPr sz="1000"/>
          </a:pPr>
          <a:endParaRPr lang="de-DE"/>
        </a:p>
      </c:txPr>
    </c:legend>
    <c:plotVisOnly val="1"/>
    <c:dispBlanksAs val="gap"/>
    <c:showDLblsOverMax val="0"/>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de-AT"/>
              <a:t>BRP V - BIP A in Mrd. €</a:t>
            </a:r>
          </a:p>
        </c:rich>
      </c:tx>
      <c:layout>
        <c:manualLayout>
          <c:xMode val="edge"/>
          <c:yMode val="edge"/>
          <c:x val="0.290431631713788"/>
          <c:y val="2.5389916575988401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de-DE"/>
        </a:p>
      </c:txPr>
    </c:title>
    <c:autoTitleDeleted val="0"/>
    <c:plotArea>
      <c:layout>
        <c:manualLayout>
          <c:layoutTarget val="inner"/>
          <c:xMode val="edge"/>
          <c:yMode val="edge"/>
          <c:x val="6.0587886611893398E-2"/>
          <c:y val="0.14536655442552801"/>
          <c:w val="0.84979766372851595"/>
          <c:h val="0.78190347262087401"/>
        </c:manualLayout>
      </c:layout>
      <c:lineChart>
        <c:grouping val="standard"/>
        <c:varyColors val="0"/>
        <c:ser>
          <c:idx val="0"/>
          <c:order val="0"/>
          <c:tx>
            <c:strRef>
              <c:f>Bruttoregionalprodukt!$B$5</c:f>
              <c:strCache>
                <c:ptCount val="1"/>
                <c:pt idx="0">
                  <c:v>BRP V</c:v>
                </c:pt>
              </c:strCache>
            </c:strRef>
          </c:tx>
          <c:spPr>
            <a:ln w="28575" cap="rnd" cmpd="sng" algn="ctr">
              <a:solidFill>
                <a:srgbClr val="FF0000"/>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Bruttoregionalprodukt!$A$7:$A$20</c15:sqref>
                  </c15:fullRef>
                </c:ext>
              </c:extLst>
              <c:f>Bruttoregionalprodukt!$A$9:$A$20</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2022 1</c:v>
                </c:pt>
              </c:strCache>
            </c:strRef>
          </c:cat>
          <c:val>
            <c:numRef>
              <c:extLst>
                <c:ext xmlns:c15="http://schemas.microsoft.com/office/drawing/2012/chart" uri="{02D57815-91ED-43cb-92C2-25804820EDAC}">
                  <c15:fullRef>
                    <c15:sqref>Bruttoregionalprodukt!$B$7:$B$20</c15:sqref>
                  </c15:fullRef>
                </c:ext>
              </c:extLst>
              <c:f>Bruttoregionalprodukt!$B$9:$B$20</c:f>
              <c:numCache>
                <c:formatCode>0.0</c:formatCode>
                <c:ptCount val="12"/>
                <c:pt idx="0">
                  <c:v>14.2</c:v>
                </c:pt>
                <c:pt idx="1">
                  <c:v>14.6</c:v>
                </c:pt>
                <c:pt idx="2">
                  <c:v>15.1</c:v>
                </c:pt>
                <c:pt idx="3">
                  <c:v>15.9</c:v>
                </c:pt>
                <c:pt idx="4">
                  <c:v>17</c:v>
                </c:pt>
                <c:pt idx="5" formatCode="General">
                  <c:v>17.100000000000001</c:v>
                </c:pt>
                <c:pt idx="6">
                  <c:v>18</c:v>
                </c:pt>
                <c:pt idx="7">
                  <c:v>19.3</c:v>
                </c:pt>
                <c:pt idx="8" formatCode="General">
                  <c:v>18.899999999999999</c:v>
                </c:pt>
                <c:pt idx="9" formatCode="General">
                  <c:v>18.3</c:v>
                </c:pt>
                <c:pt idx="10" formatCode="General">
                  <c:v>20.6</c:v>
                </c:pt>
                <c:pt idx="11" formatCode="General">
                  <c:v>23.6</c:v>
                </c:pt>
              </c:numCache>
            </c:numRef>
          </c:val>
          <c:smooth val="0"/>
          <c:extLst>
            <c:ext xmlns:c16="http://schemas.microsoft.com/office/drawing/2014/chart" uri="{C3380CC4-5D6E-409C-BE32-E72D297353CC}">
              <c16:uniqueId val="{00000000-60A4-4189-8EE2-A2954B7761AE}"/>
            </c:ext>
          </c:extLst>
        </c:ser>
        <c:dLbls>
          <c:showLegendKey val="0"/>
          <c:showVal val="0"/>
          <c:showCatName val="0"/>
          <c:showSerName val="0"/>
          <c:showPercent val="0"/>
          <c:showBubbleSize val="0"/>
        </c:dLbls>
        <c:marker val="1"/>
        <c:smooth val="0"/>
        <c:axId val="119269248"/>
        <c:axId val="119270784"/>
      </c:lineChart>
      <c:lineChart>
        <c:grouping val="standard"/>
        <c:varyColors val="0"/>
        <c:ser>
          <c:idx val="1"/>
          <c:order val="1"/>
          <c:tx>
            <c:strRef>
              <c:f>Bruttoregionalprodukt!$D$5</c:f>
              <c:strCache>
                <c:ptCount val="1"/>
                <c:pt idx="0">
                  <c:v>BIP A</c:v>
                </c:pt>
              </c:strCache>
            </c:strRef>
          </c:tx>
          <c:spPr>
            <a:ln w="28575" cap="rnd" cmpd="sng" algn="ctr">
              <a:solidFill>
                <a:schemeClr val="tx1">
                  <a:lumMod val="65000"/>
                  <a:lumOff val="35000"/>
                </a:schemeClr>
              </a:solidFill>
              <a:prstDash val="solid"/>
              <a:round/>
            </a:ln>
            <a:effectLst/>
          </c:spPr>
          <c:marker>
            <c:symbol val="none"/>
          </c:marker>
          <c:dLbls>
            <c:dLbl>
              <c:idx val="10"/>
              <c:layout>
                <c:manualLayout>
                  <c:x val="-3.5989068141726602E-2"/>
                  <c:y val="-3.301603077634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A4-4189-8EE2-A2954B7761A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Bruttoregionalprodukt!$A$7:$A$20</c15:sqref>
                  </c15:fullRef>
                </c:ext>
              </c:extLst>
              <c:f>Bruttoregionalprodukt!$A$9:$A$20</c:f>
              <c:strCache>
                <c:ptCount val="12"/>
                <c:pt idx="0">
                  <c:v>2011</c:v>
                </c:pt>
                <c:pt idx="1">
                  <c:v>2012</c:v>
                </c:pt>
                <c:pt idx="2">
                  <c:v>2013</c:v>
                </c:pt>
                <c:pt idx="3">
                  <c:v>2014</c:v>
                </c:pt>
                <c:pt idx="4">
                  <c:v>2015</c:v>
                </c:pt>
                <c:pt idx="5">
                  <c:v>2016</c:v>
                </c:pt>
                <c:pt idx="6">
                  <c:v>2017</c:v>
                </c:pt>
                <c:pt idx="7">
                  <c:v>2018</c:v>
                </c:pt>
                <c:pt idx="8">
                  <c:v>2019</c:v>
                </c:pt>
                <c:pt idx="9">
                  <c:v>2020</c:v>
                </c:pt>
                <c:pt idx="10">
                  <c:v>2021</c:v>
                </c:pt>
                <c:pt idx="11">
                  <c:v>2022 1</c:v>
                </c:pt>
              </c:strCache>
            </c:strRef>
          </c:cat>
          <c:val>
            <c:numRef>
              <c:extLst>
                <c:ext xmlns:c15="http://schemas.microsoft.com/office/drawing/2012/chart" uri="{02D57815-91ED-43cb-92C2-25804820EDAC}">
                  <c15:fullRef>
                    <c15:sqref>Bruttoregionalprodukt!$D$7:$D$20</c15:sqref>
                  </c15:fullRef>
                </c:ext>
              </c:extLst>
              <c:f>Bruttoregionalprodukt!$D$9:$D$20</c:f>
              <c:numCache>
                <c:formatCode>0.0</c:formatCode>
                <c:ptCount val="12"/>
                <c:pt idx="0">
                  <c:v>310.10000000000002</c:v>
                </c:pt>
                <c:pt idx="1">
                  <c:v>318.7</c:v>
                </c:pt>
                <c:pt idx="2">
                  <c:v>323.89999999999998</c:v>
                </c:pt>
                <c:pt idx="3">
                  <c:v>333.1</c:v>
                </c:pt>
                <c:pt idx="4">
                  <c:v>344.3</c:v>
                </c:pt>
                <c:pt idx="5" formatCode="General">
                  <c:v>357.6</c:v>
                </c:pt>
                <c:pt idx="6">
                  <c:v>369.4</c:v>
                </c:pt>
                <c:pt idx="7" formatCode="General">
                  <c:v>385.3</c:v>
                </c:pt>
                <c:pt idx="8" formatCode="General">
                  <c:v>397.1</c:v>
                </c:pt>
                <c:pt idx="9">
                  <c:v>381</c:v>
                </c:pt>
                <c:pt idx="10" formatCode="General">
                  <c:v>405.2</c:v>
                </c:pt>
                <c:pt idx="11" formatCode="General">
                  <c:v>447.2</c:v>
                </c:pt>
              </c:numCache>
            </c:numRef>
          </c:val>
          <c:smooth val="0"/>
          <c:extLst>
            <c:ext xmlns:c16="http://schemas.microsoft.com/office/drawing/2014/chart" uri="{C3380CC4-5D6E-409C-BE32-E72D297353CC}">
              <c16:uniqueId val="{00000002-60A4-4189-8EE2-A2954B7761AE}"/>
            </c:ext>
          </c:extLst>
        </c:ser>
        <c:dLbls>
          <c:showLegendKey val="0"/>
          <c:showVal val="0"/>
          <c:showCatName val="0"/>
          <c:showSerName val="0"/>
          <c:showPercent val="0"/>
          <c:showBubbleSize val="0"/>
        </c:dLbls>
        <c:marker val="1"/>
        <c:smooth val="0"/>
        <c:axId val="110692992"/>
        <c:axId val="110691456"/>
      </c:lineChart>
      <c:catAx>
        <c:axId val="119269248"/>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19270784"/>
        <c:crosses val="autoZero"/>
        <c:auto val="1"/>
        <c:lblAlgn val="ctr"/>
        <c:lblOffset val="100"/>
        <c:noMultiLvlLbl val="0"/>
      </c:catAx>
      <c:valAx>
        <c:axId val="119270784"/>
        <c:scaling>
          <c:orientation val="minMax"/>
          <c:max val="28"/>
          <c:min val="8"/>
        </c:scaling>
        <c:delete val="0"/>
        <c:axPos val="l"/>
        <c:majorGridlines>
          <c:spPr>
            <a:ln w="0" cap="flat" cmpd="sng" algn="ctr">
              <a:solidFill>
                <a:schemeClr val="tx1">
                  <a:tint val="75000"/>
                  <a:shade val="95000"/>
                  <a:satMod val="105000"/>
                </a:schemeClr>
              </a:solidFill>
              <a:prstDash val="solid"/>
              <a:round/>
            </a:ln>
            <a:effectLst/>
          </c:spPr>
        </c:majorGridlines>
        <c:numFmt formatCode="0.0" sourceLinked="1"/>
        <c:majorTickMark val="none"/>
        <c:minorTickMark val="none"/>
        <c:tickLblPos val="nextTo"/>
        <c:spPr>
          <a:noFill/>
          <a:ln w="0"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19269248"/>
        <c:crosses val="autoZero"/>
        <c:crossBetween val="between"/>
        <c:majorUnit val="10"/>
      </c:valAx>
      <c:valAx>
        <c:axId val="110691456"/>
        <c:scaling>
          <c:orientation val="minMax"/>
        </c:scaling>
        <c:delete val="0"/>
        <c:axPos val="r"/>
        <c:numFmt formatCode="0.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10692992"/>
        <c:crosses val="max"/>
        <c:crossBetween val="between"/>
      </c:valAx>
      <c:catAx>
        <c:axId val="110692992"/>
        <c:scaling>
          <c:orientation val="minMax"/>
        </c:scaling>
        <c:delete val="1"/>
        <c:axPos val="b"/>
        <c:numFmt formatCode="General" sourceLinked="1"/>
        <c:majorTickMark val="out"/>
        <c:minorTickMark val="none"/>
        <c:tickLblPos val="nextTo"/>
        <c:crossAx val="110691456"/>
        <c:crosses val="autoZero"/>
        <c:auto val="1"/>
        <c:lblAlgn val="ctr"/>
        <c:lblOffset val="100"/>
        <c:noMultiLvlLbl val="0"/>
      </c:catAx>
      <c:spPr>
        <a:solidFill>
          <a:schemeClr val="bg1"/>
        </a:solidFill>
        <a:ln>
          <a:noFill/>
        </a:ln>
        <a:effectLst/>
      </c:spPr>
    </c:plotArea>
    <c:legend>
      <c:legendPos val="r"/>
      <c:layout>
        <c:manualLayout>
          <c:xMode val="edge"/>
          <c:yMode val="edge"/>
          <c:x val="0.66165385678581701"/>
          <c:y val="1.9059002281950899E-2"/>
          <c:w val="9.7665723380668604E-2"/>
          <c:h val="0.131178189233419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'Bruttoreginalprod je EW'!$B$3</c:f>
              <c:strCache>
                <c:ptCount val="1"/>
                <c:pt idx="0">
                  <c:v>2010</c:v>
                </c:pt>
              </c:strCache>
            </c:strRef>
          </c:tx>
          <c:spPr>
            <a:solidFill>
              <a:schemeClr val="bg1">
                <a:lumMod val="85000"/>
              </a:schemeClr>
            </a:solidFill>
          </c:spPr>
          <c:invertIfNegative val="0"/>
          <c:cat>
            <c:strRef>
              <c:f>'Bruttoreginalprod je EW'!$A$5:$A$13</c:f>
              <c:strCache>
                <c:ptCount val="9"/>
                <c:pt idx="0">
                  <c:v>Salzburg</c:v>
                </c:pt>
                <c:pt idx="1">
                  <c:v>Vorarlberg</c:v>
                </c:pt>
                <c:pt idx="2">
                  <c:v>Wien </c:v>
                </c:pt>
                <c:pt idx="3">
                  <c:v>Tirol </c:v>
                </c:pt>
                <c:pt idx="4">
                  <c:v>Oberösterr.</c:v>
                </c:pt>
                <c:pt idx="5">
                  <c:v>Steiermark</c:v>
                </c:pt>
                <c:pt idx="6">
                  <c:v>Kärnten</c:v>
                </c:pt>
                <c:pt idx="7">
                  <c:v>Niederösterr.</c:v>
                </c:pt>
                <c:pt idx="8">
                  <c:v>Burgenland</c:v>
                </c:pt>
              </c:strCache>
            </c:strRef>
          </c:cat>
          <c:val>
            <c:numRef>
              <c:f>'Bruttoreginalprod je EW'!$B$5:$B$13</c:f>
              <c:numCache>
                <c:formatCode>#,##0</c:formatCode>
                <c:ptCount val="9"/>
                <c:pt idx="0">
                  <c:v>41500</c:v>
                </c:pt>
                <c:pt idx="1">
                  <c:v>36400</c:v>
                </c:pt>
                <c:pt idx="2">
                  <c:v>46100</c:v>
                </c:pt>
                <c:pt idx="3">
                  <c:v>36300</c:v>
                </c:pt>
                <c:pt idx="4">
                  <c:v>35200</c:v>
                </c:pt>
                <c:pt idx="5">
                  <c:v>31200</c:v>
                </c:pt>
                <c:pt idx="6">
                  <c:v>29700</c:v>
                </c:pt>
                <c:pt idx="7">
                  <c:v>28800</c:v>
                </c:pt>
                <c:pt idx="8">
                  <c:v>23600</c:v>
                </c:pt>
              </c:numCache>
            </c:numRef>
          </c:val>
          <c:extLst>
            <c:ext xmlns:c16="http://schemas.microsoft.com/office/drawing/2014/chart" uri="{C3380CC4-5D6E-409C-BE32-E72D297353CC}">
              <c16:uniqueId val="{00000000-A817-48C0-9E2E-2A4B06FB3649}"/>
            </c:ext>
          </c:extLst>
        </c:ser>
        <c:ser>
          <c:idx val="1"/>
          <c:order val="1"/>
          <c:tx>
            <c:strRef>
              <c:f>'Bruttoreginalprod je EW'!$C$3</c:f>
              <c:strCache>
                <c:ptCount val="1"/>
                <c:pt idx="0">
                  <c:v>2012</c:v>
                </c:pt>
              </c:strCache>
            </c:strRef>
          </c:tx>
          <c:spPr>
            <a:solidFill>
              <a:schemeClr val="bg1">
                <a:lumMod val="65000"/>
              </a:schemeClr>
            </a:solidFill>
          </c:spPr>
          <c:invertIfNegative val="0"/>
          <c:cat>
            <c:strRef>
              <c:f>'Bruttoreginalprod je EW'!$A$5:$A$13</c:f>
              <c:strCache>
                <c:ptCount val="9"/>
                <c:pt idx="0">
                  <c:v>Salzburg</c:v>
                </c:pt>
                <c:pt idx="1">
                  <c:v>Vorarlberg</c:v>
                </c:pt>
                <c:pt idx="2">
                  <c:v>Wien </c:v>
                </c:pt>
                <c:pt idx="3">
                  <c:v>Tirol </c:v>
                </c:pt>
                <c:pt idx="4">
                  <c:v>Oberösterr.</c:v>
                </c:pt>
                <c:pt idx="5">
                  <c:v>Steiermark</c:v>
                </c:pt>
                <c:pt idx="6">
                  <c:v>Kärnten</c:v>
                </c:pt>
                <c:pt idx="7">
                  <c:v>Niederösterr.</c:v>
                </c:pt>
                <c:pt idx="8">
                  <c:v>Burgenland</c:v>
                </c:pt>
              </c:strCache>
            </c:strRef>
          </c:cat>
          <c:val>
            <c:numRef>
              <c:f>'Bruttoreginalprod je EW'!$C$5:$C$13</c:f>
              <c:numCache>
                <c:formatCode>#,##0</c:formatCode>
                <c:ptCount val="9"/>
                <c:pt idx="0">
                  <c:v>45000</c:v>
                </c:pt>
                <c:pt idx="1">
                  <c:v>39200</c:v>
                </c:pt>
                <c:pt idx="2">
                  <c:v>47500</c:v>
                </c:pt>
                <c:pt idx="3">
                  <c:v>39500</c:v>
                </c:pt>
                <c:pt idx="4">
                  <c:v>38100</c:v>
                </c:pt>
                <c:pt idx="5">
                  <c:v>33900</c:v>
                </c:pt>
                <c:pt idx="6">
                  <c:v>32000</c:v>
                </c:pt>
                <c:pt idx="7">
                  <c:v>30800</c:v>
                </c:pt>
                <c:pt idx="8">
                  <c:v>25700</c:v>
                </c:pt>
              </c:numCache>
            </c:numRef>
          </c:val>
          <c:extLst>
            <c:ext xmlns:c16="http://schemas.microsoft.com/office/drawing/2014/chart" uri="{C3380CC4-5D6E-409C-BE32-E72D297353CC}">
              <c16:uniqueId val="{00000001-A817-48C0-9E2E-2A4B06FB3649}"/>
            </c:ext>
          </c:extLst>
        </c:ser>
        <c:ser>
          <c:idx val="2"/>
          <c:order val="2"/>
          <c:tx>
            <c:strRef>
              <c:f>'Bruttoreginalprod je EW'!$D$3</c:f>
              <c:strCache>
                <c:ptCount val="1"/>
                <c:pt idx="0">
                  <c:v>2014</c:v>
                </c:pt>
              </c:strCache>
            </c:strRef>
          </c:tx>
          <c:spPr>
            <a:solidFill>
              <a:schemeClr val="tx1">
                <a:lumMod val="50000"/>
                <a:lumOff val="50000"/>
              </a:schemeClr>
            </a:solidFill>
          </c:spPr>
          <c:invertIfNegative val="0"/>
          <c:cat>
            <c:strRef>
              <c:f>'Bruttoreginalprod je EW'!$A$5:$A$13</c:f>
              <c:strCache>
                <c:ptCount val="9"/>
                <c:pt idx="0">
                  <c:v>Salzburg</c:v>
                </c:pt>
                <c:pt idx="1">
                  <c:v>Vorarlberg</c:v>
                </c:pt>
                <c:pt idx="2">
                  <c:v>Wien </c:v>
                </c:pt>
                <c:pt idx="3">
                  <c:v>Tirol </c:v>
                </c:pt>
                <c:pt idx="4">
                  <c:v>Oberösterr.</c:v>
                </c:pt>
                <c:pt idx="5">
                  <c:v>Steiermark</c:v>
                </c:pt>
                <c:pt idx="6">
                  <c:v>Kärnten</c:v>
                </c:pt>
                <c:pt idx="7">
                  <c:v>Niederösterr.</c:v>
                </c:pt>
                <c:pt idx="8">
                  <c:v>Burgenland</c:v>
                </c:pt>
              </c:strCache>
            </c:strRef>
          </c:cat>
          <c:val>
            <c:numRef>
              <c:f>'Bruttoreginalprod je EW'!$D$5:$D$13</c:f>
              <c:numCache>
                <c:formatCode>#,##0</c:formatCode>
                <c:ptCount val="9"/>
                <c:pt idx="0">
                  <c:v>45700</c:v>
                </c:pt>
                <c:pt idx="1">
                  <c:v>42100</c:v>
                </c:pt>
                <c:pt idx="2">
                  <c:v>47600</c:v>
                </c:pt>
                <c:pt idx="3">
                  <c:v>41200</c:v>
                </c:pt>
                <c:pt idx="4">
                  <c:v>39900</c:v>
                </c:pt>
                <c:pt idx="5">
                  <c:v>35100</c:v>
                </c:pt>
                <c:pt idx="6">
                  <c:v>33100</c:v>
                </c:pt>
                <c:pt idx="7">
                  <c:v>31900</c:v>
                </c:pt>
                <c:pt idx="8">
                  <c:v>26900</c:v>
                </c:pt>
              </c:numCache>
            </c:numRef>
          </c:val>
          <c:extLst>
            <c:ext xmlns:c16="http://schemas.microsoft.com/office/drawing/2014/chart" uri="{C3380CC4-5D6E-409C-BE32-E72D297353CC}">
              <c16:uniqueId val="{00000002-A817-48C0-9E2E-2A4B06FB3649}"/>
            </c:ext>
          </c:extLst>
        </c:ser>
        <c:ser>
          <c:idx val="3"/>
          <c:order val="3"/>
          <c:tx>
            <c:strRef>
              <c:f>'Bruttoreginalprod je EW'!$E$3</c:f>
              <c:strCache>
                <c:ptCount val="1"/>
                <c:pt idx="0">
                  <c:v>2016</c:v>
                </c:pt>
              </c:strCache>
            </c:strRef>
          </c:tx>
          <c:spPr>
            <a:solidFill>
              <a:schemeClr val="tx1">
                <a:lumMod val="65000"/>
                <a:lumOff val="35000"/>
              </a:schemeClr>
            </a:solidFill>
          </c:spPr>
          <c:invertIfNegative val="0"/>
          <c:cat>
            <c:strRef>
              <c:f>'Bruttoreginalprod je EW'!$A$5:$A$13</c:f>
              <c:strCache>
                <c:ptCount val="9"/>
                <c:pt idx="0">
                  <c:v>Salzburg</c:v>
                </c:pt>
                <c:pt idx="1">
                  <c:v>Vorarlberg</c:v>
                </c:pt>
                <c:pt idx="2">
                  <c:v>Wien </c:v>
                </c:pt>
                <c:pt idx="3">
                  <c:v>Tirol </c:v>
                </c:pt>
                <c:pt idx="4">
                  <c:v>Oberösterr.</c:v>
                </c:pt>
                <c:pt idx="5">
                  <c:v>Steiermark</c:v>
                </c:pt>
                <c:pt idx="6">
                  <c:v>Kärnten</c:v>
                </c:pt>
                <c:pt idx="7">
                  <c:v>Niederösterr.</c:v>
                </c:pt>
                <c:pt idx="8">
                  <c:v>Burgenland</c:v>
                </c:pt>
              </c:strCache>
            </c:strRef>
          </c:cat>
          <c:val>
            <c:numRef>
              <c:f>'Bruttoreginalprod je EW'!$E$5:$E$13</c:f>
              <c:numCache>
                <c:formatCode>#,##0</c:formatCode>
                <c:ptCount val="9"/>
                <c:pt idx="0">
                  <c:v>48900</c:v>
                </c:pt>
                <c:pt idx="1">
                  <c:v>44100</c:v>
                </c:pt>
                <c:pt idx="2">
                  <c:v>49600</c:v>
                </c:pt>
                <c:pt idx="3">
                  <c:v>43600</c:v>
                </c:pt>
                <c:pt idx="4">
                  <c:v>41600</c:v>
                </c:pt>
                <c:pt idx="5">
                  <c:v>36900</c:v>
                </c:pt>
                <c:pt idx="6">
                  <c:v>34000</c:v>
                </c:pt>
                <c:pt idx="7">
                  <c:v>33500</c:v>
                </c:pt>
                <c:pt idx="8">
                  <c:v>28600</c:v>
                </c:pt>
              </c:numCache>
            </c:numRef>
          </c:val>
          <c:extLst>
            <c:ext xmlns:c16="http://schemas.microsoft.com/office/drawing/2014/chart" uri="{C3380CC4-5D6E-409C-BE32-E72D297353CC}">
              <c16:uniqueId val="{00000003-A817-48C0-9E2E-2A4B06FB3649}"/>
            </c:ext>
          </c:extLst>
        </c:ser>
        <c:ser>
          <c:idx val="4"/>
          <c:order val="4"/>
          <c:tx>
            <c:strRef>
              <c:f>'Bruttoreginalprod je EW'!$F$3</c:f>
              <c:strCache>
                <c:ptCount val="1"/>
                <c:pt idx="0">
                  <c:v>2018</c:v>
                </c:pt>
              </c:strCache>
            </c:strRef>
          </c:tx>
          <c:spPr>
            <a:solidFill>
              <a:schemeClr val="tx1">
                <a:lumMod val="75000"/>
                <a:lumOff val="25000"/>
              </a:schemeClr>
            </a:solidFill>
          </c:spPr>
          <c:invertIfNegative val="0"/>
          <c:cat>
            <c:strRef>
              <c:f>'Bruttoreginalprod je EW'!$A$5:$A$13</c:f>
              <c:strCache>
                <c:ptCount val="9"/>
                <c:pt idx="0">
                  <c:v>Salzburg</c:v>
                </c:pt>
                <c:pt idx="1">
                  <c:v>Vorarlberg</c:v>
                </c:pt>
                <c:pt idx="2">
                  <c:v>Wien </c:v>
                </c:pt>
                <c:pt idx="3">
                  <c:v>Tirol </c:v>
                </c:pt>
                <c:pt idx="4">
                  <c:v>Oberösterr.</c:v>
                </c:pt>
                <c:pt idx="5">
                  <c:v>Steiermark</c:v>
                </c:pt>
                <c:pt idx="6">
                  <c:v>Kärnten</c:v>
                </c:pt>
                <c:pt idx="7">
                  <c:v>Niederösterr.</c:v>
                </c:pt>
                <c:pt idx="8">
                  <c:v>Burgenland</c:v>
                </c:pt>
              </c:strCache>
            </c:strRef>
          </c:cat>
          <c:val>
            <c:numRef>
              <c:f>'Bruttoreginalprod je EW'!$F$5:$F$13</c:f>
              <c:numCache>
                <c:formatCode>#,##0</c:formatCode>
                <c:ptCount val="9"/>
                <c:pt idx="0">
                  <c:v>51700</c:v>
                </c:pt>
                <c:pt idx="1">
                  <c:v>49100</c:v>
                </c:pt>
                <c:pt idx="2">
                  <c:v>51300</c:v>
                </c:pt>
                <c:pt idx="3">
                  <c:v>46300</c:v>
                </c:pt>
                <c:pt idx="4">
                  <c:v>44800</c:v>
                </c:pt>
                <c:pt idx="5">
                  <c:v>39300</c:v>
                </c:pt>
                <c:pt idx="6">
                  <c:v>37200</c:v>
                </c:pt>
                <c:pt idx="7">
                  <c:v>36100</c:v>
                </c:pt>
                <c:pt idx="8">
                  <c:v>30600</c:v>
                </c:pt>
              </c:numCache>
            </c:numRef>
          </c:val>
          <c:extLst>
            <c:ext xmlns:c16="http://schemas.microsoft.com/office/drawing/2014/chart" uri="{C3380CC4-5D6E-409C-BE32-E72D297353CC}">
              <c16:uniqueId val="{00000004-A817-48C0-9E2E-2A4B06FB3649}"/>
            </c:ext>
          </c:extLst>
        </c:ser>
        <c:ser>
          <c:idx val="5"/>
          <c:order val="5"/>
          <c:tx>
            <c:strRef>
              <c:f>'Bruttoreginalprod je EW'!$G$3</c:f>
              <c:strCache>
                <c:ptCount val="1"/>
                <c:pt idx="0">
                  <c:v>2020</c:v>
                </c:pt>
              </c:strCache>
            </c:strRef>
          </c:tx>
          <c:spPr>
            <a:solidFill>
              <a:schemeClr val="tx1">
                <a:lumMod val="95000"/>
                <a:lumOff val="5000"/>
              </a:schemeClr>
            </a:solidFill>
          </c:spPr>
          <c:invertIfNegative val="0"/>
          <c:cat>
            <c:strRef>
              <c:f>'Bruttoreginalprod je EW'!$A$5:$A$13</c:f>
              <c:strCache>
                <c:ptCount val="9"/>
                <c:pt idx="0">
                  <c:v>Salzburg</c:v>
                </c:pt>
                <c:pt idx="1">
                  <c:v>Vorarlberg</c:v>
                </c:pt>
                <c:pt idx="2">
                  <c:v>Wien </c:v>
                </c:pt>
                <c:pt idx="3">
                  <c:v>Tirol </c:v>
                </c:pt>
                <c:pt idx="4">
                  <c:v>Oberösterr.</c:v>
                </c:pt>
                <c:pt idx="5">
                  <c:v>Steiermark</c:v>
                </c:pt>
                <c:pt idx="6">
                  <c:v>Kärnten</c:v>
                </c:pt>
                <c:pt idx="7">
                  <c:v>Niederösterr.</c:v>
                </c:pt>
                <c:pt idx="8">
                  <c:v>Burgenland</c:v>
                </c:pt>
              </c:strCache>
            </c:strRef>
          </c:cat>
          <c:val>
            <c:numRef>
              <c:f>'Bruttoreginalprod je EW'!$G$5:$G$13</c:f>
              <c:numCache>
                <c:formatCode>#,##0</c:formatCode>
                <c:ptCount val="9"/>
                <c:pt idx="0">
                  <c:v>51100</c:v>
                </c:pt>
                <c:pt idx="1">
                  <c:v>46000</c:v>
                </c:pt>
                <c:pt idx="2">
                  <c:v>50200</c:v>
                </c:pt>
                <c:pt idx="3">
                  <c:v>44500</c:v>
                </c:pt>
                <c:pt idx="4">
                  <c:v>44000</c:v>
                </c:pt>
                <c:pt idx="5">
                  <c:v>39200</c:v>
                </c:pt>
                <c:pt idx="6">
                  <c:v>37100</c:v>
                </c:pt>
                <c:pt idx="7">
                  <c:v>35500</c:v>
                </c:pt>
                <c:pt idx="8">
                  <c:v>30300</c:v>
                </c:pt>
              </c:numCache>
            </c:numRef>
          </c:val>
          <c:extLst>
            <c:ext xmlns:c16="http://schemas.microsoft.com/office/drawing/2014/chart" uri="{C3380CC4-5D6E-409C-BE32-E72D297353CC}">
              <c16:uniqueId val="{00000000-CD3D-47BD-9FEC-5F9A7F3DDBEB}"/>
            </c:ext>
          </c:extLst>
        </c:ser>
        <c:ser>
          <c:idx val="6"/>
          <c:order val="6"/>
          <c:tx>
            <c:strRef>
              <c:f>'Bruttoreginalprod je EW'!$H$3</c:f>
              <c:strCache>
                <c:ptCount val="1"/>
                <c:pt idx="0">
                  <c:v>2021</c:v>
                </c:pt>
              </c:strCache>
            </c:strRef>
          </c:tx>
          <c:spPr>
            <a:solidFill>
              <a:srgbClr val="FF0000"/>
            </a:solidFill>
          </c:spPr>
          <c:invertIfNegative val="0"/>
          <c:cat>
            <c:strRef>
              <c:f>'Bruttoreginalprod je EW'!$A$5:$A$13</c:f>
              <c:strCache>
                <c:ptCount val="9"/>
                <c:pt idx="0">
                  <c:v>Salzburg</c:v>
                </c:pt>
                <c:pt idx="1">
                  <c:v>Vorarlberg</c:v>
                </c:pt>
                <c:pt idx="2">
                  <c:v>Wien </c:v>
                </c:pt>
                <c:pt idx="3">
                  <c:v>Tirol </c:v>
                </c:pt>
                <c:pt idx="4">
                  <c:v>Oberösterr.</c:v>
                </c:pt>
                <c:pt idx="5">
                  <c:v>Steiermark</c:v>
                </c:pt>
                <c:pt idx="6">
                  <c:v>Kärnten</c:v>
                </c:pt>
                <c:pt idx="7">
                  <c:v>Niederösterr.</c:v>
                </c:pt>
                <c:pt idx="8">
                  <c:v>Burgenland</c:v>
                </c:pt>
              </c:strCache>
            </c:strRef>
          </c:cat>
          <c:val>
            <c:numRef>
              <c:f>'Bruttoreginalprod je EW'!$H$5:$H$13</c:f>
              <c:numCache>
                <c:formatCode>#,##0</c:formatCode>
                <c:ptCount val="9"/>
                <c:pt idx="0">
                  <c:v>52600</c:v>
                </c:pt>
                <c:pt idx="1">
                  <c:v>51300</c:v>
                </c:pt>
                <c:pt idx="2">
                  <c:v>53400</c:v>
                </c:pt>
                <c:pt idx="3">
                  <c:v>45100</c:v>
                </c:pt>
                <c:pt idx="4">
                  <c:v>47000</c:v>
                </c:pt>
                <c:pt idx="5">
                  <c:v>41500</c:v>
                </c:pt>
                <c:pt idx="6">
                  <c:v>39400</c:v>
                </c:pt>
                <c:pt idx="7">
                  <c:v>37700</c:v>
                </c:pt>
                <c:pt idx="8">
                  <c:v>32000</c:v>
                </c:pt>
              </c:numCache>
            </c:numRef>
          </c:val>
          <c:extLst>
            <c:ext xmlns:c16="http://schemas.microsoft.com/office/drawing/2014/chart" uri="{C3380CC4-5D6E-409C-BE32-E72D297353CC}">
              <c16:uniqueId val="{00000000-63B3-467D-BDFE-B2BCF9A6F968}"/>
            </c:ext>
          </c:extLst>
        </c:ser>
        <c:ser>
          <c:idx val="7"/>
          <c:order val="7"/>
          <c:tx>
            <c:strRef>
              <c:f>'Bruttoreginalprod je EW'!$I$3</c:f>
              <c:strCache>
                <c:ptCount val="1"/>
                <c:pt idx="0">
                  <c:v>2022 1</c:v>
                </c:pt>
              </c:strCache>
            </c:strRef>
          </c:tx>
          <c:invertIfNegative val="0"/>
          <c:cat>
            <c:strRef>
              <c:f>'Bruttoreginalprod je EW'!$A$5:$A$13</c:f>
              <c:strCache>
                <c:ptCount val="9"/>
                <c:pt idx="0">
                  <c:v>Salzburg</c:v>
                </c:pt>
                <c:pt idx="1">
                  <c:v>Vorarlberg</c:v>
                </c:pt>
                <c:pt idx="2">
                  <c:v>Wien </c:v>
                </c:pt>
                <c:pt idx="3">
                  <c:v>Tirol </c:v>
                </c:pt>
                <c:pt idx="4">
                  <c:v>Oberösterr.</c:v>
                </c:pt>
                <c:pt idx="5">
                  <c:v>Steiermark</c:v>
                </c:pt>
                <c:pt idx="6">
                  <c:v>Kärnten</c:v>
                </c:pt>
                <c:pt idx="7">
                  <c:v>Niederösterr.</c:v>
                </c:pt>
                <c:pt idx="8">
                  <c:v>Burgenland</c:v>
                </c:pt>
              </c:strCache>
            </c:strRef>
          </c:cat>
          <c:val>
            <c:numRef>
              <c:f>'Bruttoreginalprod je EW'!$I$5:$I$13</c:f>
              <c:numCache>
                <c:formatCode>#,##0</c:formatCode>
                <c:ptCount val="9"/>
                <c:pt idx="0">
                  <c:v>58900</c:v>
                </c:pt>
                <c:pt idx="1">
                  <c:v>58300</c:v>
                </c:pt>
                <c:pt idx="2">
                  <c:v>56600</c:v>
                </c:pt>
                <c:pt idx="3">
                  <c:v>51200</c:v>
                </c:pt>
                <c:pt idx="4">
                  <c:v>50700</c:v>
                </c:pt>
                <c:pt idx="5">
                  <c:v>44600</c:v>
                </c:pt>
                <c:pt idx="6">
                  <c:v>43600</c:v>
                </c:pt>
                <c:pt idx="7">
                  <c:v>41900</c:v>
                </c:pt>
                <c:pt idx="8">
                  <c:v>34900</c:v>
                </c:pt>
              </c:numCache>
            </c:numRef>
          </c:val>
          <c:extLst>
            <c:ext xmlns:c16="http://schemas.microsoft.com/office/drawing/2014/chart" uri="{C3380CC4-5D6E-409C-BE32-E72D297353CC}">
              <c16:uniqueId val="{00000000-CF54-495F-A581-30335C636884}"/>
            </c:ext>
          </c:extLst>
        </c:ser>
        <c:dLbls>
          <c:showLegendKey val="0"/>
          <c:showVal val="0"/>
          <c:showCatName val="0"/>
          <c:showSerName val="0"/>
          <c:showPercent val="0"/>
          <c:showBubbleSize val="0"/>
        </c:dLbls>
        <c:gapWidth val="150"/>
        <c:axId val="111595904"/>
        <c:axId val="111597440"/>
      </c:barChart>
      <c:catAx>
        <c:axId val="111595904"/>
        <c:scaling>
          <c:orientation val="minMax"/>
        </c:scaling>
        <c:delete val="0"/>
        <c:axPos val="l"/>
        <c:numFmt formatCode="General" sourceLinked="0"/>
        <c:majorTickMark val="out"/>
        <c:minorTickMark val="none"/>
        <c:tickLblPos val="nextTo"/>
        <c:crossAx val="111597440"/>
        <c:crosses val="autoZero"/>
        <c:auto val="1"/>
        <c:lblAlgn val="ctr"/>
        <c:lblOffset val="100"/>
        <c:noMultiLvlLbl val="0"/>
      </c:catAx>
      <c:valAx>
        <c:axId val="111597440"/>
        <c:scaling>
          <c:orientation val="minMax"/>
        </c:scaling>
        <c:delete val="0"/>
        <c:axPos val="b"/>
        <c:majorGridlines/>
        <c:numFmt formatCode="#,##0" sourceLinked="1"/>
        <c:majorTickMark val="out"/>
        <c:minorTickMark val="none"/>
        <c:tickLblPos val="nextTo"/>
        <c:crossAx val="111595904"/>
        <c:crosses val="autoZero"/>
        <c:crossBetween val="between"/>
      </c:valAx>
      <c:spPr>
        <a:noFill/>
      </c:spPr>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'Bruttoreginalprod je EW'!$M$6</c:f>
              <c:strCache>
                <c:ptCount val="1"/>
                <c:pt idx="0">
                  <c:v>2010</c:v>
                </c:pt>
              </c:strCache>
            </c:strRef>
          </c:tx>
          <c:spPr>
            <a:solidFill>
              <a:schemeClr val="bg1">
                <a:lumMod val="85000"/>
              </a:schemeClr>
            </a:solidFill>
          </c:spPr>
          <c:invertIfNegative val="0"/>
          <c:cat>
            <c:strRef>
              <c:f>'Bruttoreginalprod je EW'!$L$7:$L$16</c:f>
              <c:strCache>
                <c:ptCount val="10"/>
                <c:pt idx="0">
                  <c:v>Burgenland</c:v>
                </c:pt>
                <c:pt idx="1">
                  <c:v>Niederösterr.</c:v>
                </c:pt>
                <c:pt idx="2">
                  <c:v>Kärnten</c:v>
                </c:pt>
                <c:pt idx="3">
                  <c:v>Steiermark</c:v>
                </c:pt>
                <c:pt idx="4">
                  <c:v>Oberösterr.</c:v>
                </c:pt>
                <c:pt idx="5">
                  <c:v>Tirol </c:v>
                </c:pt>
                <c:pt idx="6">
                  <c:v>Wien </c:v>
                </c:pt>
                <c:pt idx="7">
                  <c:v>Vorarlberg</c:v>
                </c:pt>
                <c:pt idx="8">
                  <c:v>Salzburg</c:v>
                </c:pt>
                <c:pt idx="9">
                  <c:v>Österreich</c:v>
                </c:pt>
              </c:strCache>
            </c:strRef>
          </c:cat>
          <c:val>
            <c:numRef>
              <c:f>'Bruttoreginalprod je EW'!$M$7:$M$16</c:f>
              <c:numCache>
                <c:formatCode>#,##0</c:formatCode>
                <c:ptCount val="10"/>
                <c:pt idx="0">
                  <c:v>23600</c:v>
                </c:pt>
                <c:pt idx="1">
                  <c:v>28800</c:v>
                </c:pt>
                <c:pt idx="2">
                  <c:v>29700</c:v>
                </c:pt>
                <c:pt idx="3">
                  <c:v>31200</c:v>
                </c:pt>
                <c:pt idx="4">
                  <c:v>35200</c:v>
                </c:pt>
                <c:pt idx="5">
                  <c:v>36300</c:v>
                </c:pt>
                <c:pt idx="6">
                  <c:v>46100</c:v>
                </c:pt>
                <c:pt idx="7">
                  <c:v>36400</c:v>
                </c:pt>
                <c:pt idx="8">
                  <c:v>41500</c:v>
                </c:pt>
                <c:pt idx="9">
                  <c:v>35400</c:v>
                </c:pt>
              </c:numCache>
            </c:numRef>
          </c:val>
          <c:extLst>
            <c:ext xmlns:c16="http://schemas.microsoft.com/office/drawing/2014/chart" uri="{C3380CC4-5D6E-409C-BE32-E72D297353CC}">
              <c16:uniqueId val="{00000000-2985-4FFF-AED5-C05270CD767D}"/>
            </c:ext>
          </c:extLst>
        </c:ser>
        <c:ser>
          <c:idx val="1"/>
          <c:order val="1"/>
          <c:tx>
            <c:strRef>
              <c:f>'Bruttoreginalprod je EW'!$N$6</c:f>
              <c:strCache>
                <c:ptCount val="1"/>
                <c:pt idx="0">
                  <c:v>2012</c:v>
                </c:pt>
              </c:strCache>
            </c:strRef>
          </c:tx>
          <c:spPr>
            <a:solidFill>
              <a:schemeClr val="bg1">
                <a:lumMod val="65000"/>
              </a:schemeClr>
            </a:solidFill>
          </c:spPr>
          <c:invertIfNegative val="0"/>
          <c:cat>
            <c:strRef>
              <c:f>'Bruttoreginalprod je EW'!$L$7:$L$16</c:f>
              <c:strCache>
                <c:ptCount val="10"/>
                <c:pt idx="0">
                  <c:v>Burgenland</c:v>
                </c:pt>
                <c:pt idx="1">
                  <c:v>Niederösterr.</c:v>
                </c:pt>
                <c:pt idx="2">
                  <c:v>Kärnten</c:v>
                </c:pt>
                <c:pt idx="3">
                  <c:v>Steiermark</c:v>
                </c:pt>
                <c:pt idx="4">
                  <c:v>Oberösterr.</c:v>
                </c:pt>
                <c:pt idx="5">
                  <c:v>Tirol </c:v>
                </c:pt>
                <c:pt idx="6">
                  <c:v>Wien </c:v>
                </c:pt>
                <c:pt idx="7">
                  <c:v>Vorarlberg</c:v>
                </c:pt>
                <c:pt idx="8">
                  <c:v>Salzburg</c:v>
                </c:pt>
                <c:pt idx="9">
                  <c:v>Österreich</c:v>
                </c:pt>
              </c:strCache>
            </c:strRef>
          </c:cat>
          <c:val>
            <c:numRef>
              <c:f>'Bruttoreginalprod je EW'!$N$7:$N$16</c:f>
              <c:numCache>
                <c:formatCode>#,##0</c:formatCode>
                <c:ptCount val="10"/>
                <c:pt idx="0">
                  <c:v>25700</c:v>
                </c:pt>
                <c:pt idx="1">
                  <c:v>30800</c:v>
                </c:pt>
                <c:pt idx="2">
                  <c:v>32000</c:v>
                </c:pt>
                <c:pt idx="3">
                  <c:v>33900</c:v>
                </c:pt>
                <c:pt idx="4">
                  <c:v>38100</c:v>
                </c:pt>
                <c:pt idx="5">
                  <c:v>39500</c:v>
                </c:pt>
                <c:pt idx="6">
                  <c:v>47500</c:v>
                </c:pt>
                <c:pt idx="7">
                  <c:v>39200</c:v>
                </c:pt>
                <c:pt idx="8">
                  <c:v>45000</c:v>
                </c:pt>
                <c:pt idx="9">
                  <c:v>37800</c:v>
                </c:pt>
              </c:numCache>
            </c:numRef>
          </c:val>
          <c:extLst>
            <c:ext xmlns:c16="http://schemas.microsoft.com/office/drawing/2014/chart" uri="{C3380CC4-5D6E-409C-BE32-E72D297353CC}">
              <c16:uniqueId val="{00000001-2985-4FFF-AED5-C05270CD767D}"/>
            </c:ext>
          </c:extLst>
        </c:ser>
        <c:ser>
          <c:idx val="2"/>
          <c:order val="2"/>
          <c:tx>
            <c:strRef>
              <c:f>'Bruttoreginalprod je EW'!$O$6</c:f>
              <c:strCache>
                <c:ptCount val="1"/>
                <c:pt idx="0">
                  <c:v>2014</c:v>
                </c:pt>
              </c:strCache>
            </c:strRef>
          </c:tx>
          <c:spPr>
            <a:solidFill>
              <a:schemeClr val="tx1">
                <a:lumMod val="50000"/>
                <a:lumOff val="50000"/>
              </a:schemeClr>
            </a:solidFill>
          </c:spPr>
          <c:invertIfNegative val="0"/>
          <c:cat>
            <c:strRef>
              <c:f>'Bruttoreginalprod je EW'!$L$7:$L$16</c:f>
              <c:strCache>
                <c:ptCount val="10"/>
                <c:pt idx="0">
                  <c:v>Burgenland</c:v>
                </c:pt>
                <c:pt idx="1">
                  <c:v>Niederösterr.</c:v>
                </c:pt>
                <c:pt idx="2">
                  <c:v>Kärnten</c:v>
                </c:pt>
                <c:pt idx="3">
                  <c:v>Steiermark</c:v>
                </c:pt>
                <c:pt idx="4">
                  <c:v>Oberösterr.</c:v>
                </c:pt>
                <c:pt idx="5">
                  <c:v>Tirol </c:v>
                </c:pt>
                <c:pt idx="6">
                  <c:v>Wien </c:v>
                </c:pt>
                <c:pt idx="7">
                  <c:v>Vorarlberg</c:v>
                </c:pt>
                <c:pt idx="8">
                  <c:v>Salzburg</c:v>
                </c:pt>
                <c:pt idx="9">
                  <c:v>Österreich</c:v>
                </c:pt>
              </c:strCache>
            </c:strRef>
          </c:cat>
          <c:val>
            <c:numRef>
              <c:f>'Bruttoreginalprod je EW'!$O$7:$O$16</c:f>
              <c:numCache>
                <c:formatCode>#,##0</c:formatCode>
                <c:ptCount val="10"/>
                <c:pt idx="0">
                  <c:v>26900</c:v>
                </c:pt>
                <c:pt idx="1">
                  <c:v>31900</c:v>
                </c:pt>
                <c:pt idx="2">
                  <c:v>33100</c:v>
                </c:pt>
                <c:pt idx="3">
                  <c:v>35100</c:v>
                </c:pt>
                <c:pt idx="4">
                  <c:v>39900</c:v>
                </c:pt>
                <c:pt idx="5">
                  <c:v>41200</c:v>
                </c:pt>
                <c:pt idx="6">
                  <c:v>47600</c:v>
                </c:pt>
                <c:pt idx="7">
                  <c:v>42100</c:v>
                </c:pt>
                <c:pt idx="8">
                  <c:v>45700</c:v>
                </c:pt>
                <c:pt idx="9">
                  <c:v>39000</c:v>
                </c:pt>
              </c:numCache>
            </c:numRef>
          </c:val>
          <c:extLst>
            <c:ext xmlns:c16="http://schemas.microsoft.com/office/drawing/2014/chart" uri="{C3380CC4-5D6E-409C-BE32-E72D297353CC}">
              <c16:uniqueId val="{00000002-2985-4FFF-AED5-C05270CD767D}"/>
            </c:ext>
          </c:extLst>
        </c:ser>
        <c:ser>
          <c:idx val="3"/>
          <c:order val="3"/>
          <c:tx>
            <c:strRef>
              <c:f>'Bruttoreginalprod je EW'!$P$6</c:f>
              <c:strCache>
                <c:ptCount val="1"/>
                <c:pt idx="0">
                  <c:v>2016</c:v>
                </c:pt>
              </c:strCache>
            </c:strRef>
          </c:tx>
          <c:spPr>
            <a:solidFill>
              <a:schemeClr val="tx1">
                <a:lumMod val="65000"/>
                <a:lumOff val="35000"/>
              </a:schemeClr>
            </a:solidFill>
          </c:spPr>
          <c:invertIfNegative val="0"/>
          <c:cat>
            <c:strRef>
              <c:f>'Bruttoreginalprod je EW'!$L$7:$L$16</c:f>
              <c:strCache>
                <c:ptCount val="10"/>
                <c:pt idx="0">
                  <c:v>Burgenland</c:v>
                </c:pt>
                <c:pt idx="1">
                  <c:v>Niederösterr.</c:v>
                </c:pt>
                <c:pt idx="2">
                  <c:v>Kärnten</c:v>
                </c:pt>
                <c:pt idx="3">
                  <c:v>Steiermark</c:v>
                </c:pt>
                <c:pt idx="4">
                  <c:v>Oberösterr.</c:v>
                </c:pt>
                <c:pt idx="5">
                  <c:v>Tirol </c:v>
                </c:pt>
                <c:pt idx="6">
                  <c:v>Wien </c:v>
                </c:pt>
                <c:pt idx="7">
                  <c:v>Vorarlberg</c:v>
                </c:pt>
                <c:pt idx="8">
                  <c:v>Salzburg</c:v>
                </c:pt>
                <c:pt idx="9">
                  <c:v>Österreich</c:v>
                </c:pt>
              </c:strCache>
            </c:strRef>
          </c:cat>
          <c:val>
            <c:numRef>
              <c:f>'Bruttoreginalprod je EW'!$P$7:$P$16</c:f>
              <c:numCache>
                <c:formatCode>#,##0</c:formatCode>
                <c:ptCount val="10"/>
                <c:pt idx="0">
                  <c:v>28600</c:v>
                </c:pt>
                <c:pt idx="1">
                  <c:v>33500</c:v>
                </c:pt>
                <c:pt idx="2">
                  <c:v>34000</c:v>
                </c:pt>
                <c:pt idx="3">
                  <c:v>36900</c:v>
                </c:pt>
                <c:pt idx="4">
                  <c:v>41600</c:v>
                </c:pt>
                <c:pt idx="5">
                  <c:v>43600</c:v>
                </c:pt>
                <c:pt idx="6">
                  <c:v>49600</c:v>
                </c:pt>
                <c:pt idx="7">
                  <c:v>44100</c:v>
                </c:pt>
                <c:pt idx="8">
                  <c:v>48900</c:v>
                </c:pt>
                <c:pt idx="9">
                  <c:v>40900</c:v>
                </c:pt>
              </c:numCache>
            </c:numRef>
          </c:val>
          <c:extLst>
            <c:ext xmlns:c16="http://schemas.microsoft.com/office/drawing/2014/chart" uri="{C3380CC4-5D6E-409C-BE32-E72D297353CC}">
              <c16:uniqueId val="{00000003-2985-4FFF-AED5-C05270CD767D}"/>
            </c:ext>
          </c:extLst>
        </c:ser>
        <c:ser>
          <c:idx val="4"/>
          <c:order val="4"/>
          <c:tx>
            <c:strRef>
              <c:f>'Bruttoreginalprod je EW'!$Q$6</c:f>
              <c:strCache>
                <c:ptCount val="1"/>
                <c:pt idx="0">
                  <c:v>2018</c:v>
                </c:pt>
              </c:strCache>
            </c:strRef>
          </c:tx>
          <c:spPr>
            <a:solidFill>
              <a:schemeClr val="tx1">
                <a:lumMod val="85000"/>
                <a:lumOff val="15000"/>
              </a:schemeClr>
            </a:solidFill>
          </c:spPr>
          <c:invertIfNegative val="0"/>
          <c:cat>
            <c:strRef>
              <c:f>'Bruttoreginalprod je EW'!$L$7:$L$16</c:f>
              <c:strCache>
                <c:ptCount val="10"/>
                <c:pt idx="0">
                  <c:v>Burgenland</c:v>
                </c:pt>
                <c:pt idx="1">
                  <c:v>Niederösterr.</c:v>
                </c:pt>
                <c:pt idx="2">
                  <c:v>Kärnten</c:v>
                </c:pt>
                <c:pt idx="3">
                  <c:v>Steiermark</c:v>
                </c:pt>
                <c:pt idx="4">
                  <c:v>Oberösterr.</c:v>
                </c:pt>
                <c:pt idx="5">
                  <c:v>Tirol </c:v>
                </c:pt>
                <c:pt idx="6">
                  <c:v>Wien </c:v>
                </c:pt>
                <c:pt idx="7">
                  <c:v>Vorarlberg</c:v>
                </c:pt>
                <c:pt idx="8">
                  <c:v>Salzburg</c:v>
                </c:pt>
                <c:pt idx="9">
                  <c:v>Österreich</c:v>
                </c:pt>
              </c:strCache>
            </c:strRef>
          </c:cat>
          <c:val>
            <c:numRef>
              <c:f>'Bruttoreginalprod je EW'!$Q$7:$Q$16</c:f>
              <c:numCache>
                <c:formatCode>#,##0</c:formatCode>
                <c:ptCount val="10"/>
                <c:pt idx="0">
                  <c:v>30600</c:v>
                </c:pt>
                <c:pt idx="1">
                  <c:v>36100</c:v>
                </c:pt>
                <c:pt idx="2">
                  <c:v>37200</c:v>
                </c:pt>
                <c:pt idx="3">
                  <c:v>39300</c:v>
                </c:pt>
                <c:pt idx="4">
                  <c:v>44800</c:v>
                </c:pt>
                <c:pt idx="5">
                  <c:v>46300</c:v>
                </c:pt>
                <c:pt idx="6">
                  <c:v>51300</c:v>
                </c:pt>
                <c:pt idx="7">
                  <c:v>49100</c:v>
                </c:pt>
                <c:pt idx="8">
                  <c:v>51700</c:v>
                </c:pt>
                <c:pt idx="9">
                  <c:v>43600</c:v>
                </c:pt>
              </c:numCache>
            </c:numRef>
          </c:val>
          <c:extLst>
            <c:ext xmlns:c16="http://schemas.microsoft.com/office/drawing/2014/chart" uri="{C3380CC4-5D6E-409C-BE32-E72D297353CC}">
              <c16:uniqueId val="{00000004-2985-4FFF-AED5-C05270CD767D}"/>
            </c:ext>
          </c:extLst>
        </c:ser>
        <c:ser>
          <c:idx val="5"/>
          <c:order val="5"/>
          <c:tx>
            <c:strRef>
              <c:f>'Bruttoreginalprod je EW'!$R$6</c:f>
              <c:strCache>
                <c:ptCount val="1"/>
                <c:pt idx="0">
                  <c:v>2020</c:v>
                </c:pt>
              </c:strCache>
            </c:strRef>
          </c:tx>
          <c:spPr>
            <a:solidFill>
              <a:schemeClr val="tx1">
                <a:lumMod val="95000"/>
                <a:lumOff val="5000"/>
              </a:schemeClr>
            </a:solidFill>
          </c:spPr>
          <c:invertIfNegative val="0"/>
          <c:cat>
            <c:strRef>
              <c:f>'Bruttoreginalprod je EW'!$L$7:$L$16</c:f>
              <c:strCache>
                <c:ptCount val="10"/>
                <c:pt idx="0">
                  <c:v>Burgenland</c:v>
                </c:pt>
                <c:pt idx="1">
                  <c:v>Niederösterr.</c:v>
                </c:pt>
                <c:pt idx="2">
                  <c:v>Kärnten</c:v>
                </c:pt>
                <c:pt idx="3">
                  <c:v>Steiermark</c:v>
                </c:pt>
                <c:pt idx="4">
                  <c:v>Oberösterr.</c:v>
                </c:pt>
                <c:pt idx="5">
                  <c:v>Tirol </c:v>
                </c:pt>
                <c:pt idx="6">
                  <c:v>Wien </c:v>
                </c:pt>
                <c:pt idx="7">
                  <c:v>Vorarlberg</c:v>
                </c:pt>
                <c:pt idx="8">
                  <c:v>Salzburg</c:v>
                </c:pt>
                <c:pt idx="9">
                  <c:v>Österreich</c:v>
                </c:pt>
              </c:strCache>
            </c:strRef>
          </c:cat>
          <c:val>
            <c:numRef>
              <c:f>'Bruttoreginalprod je EW'!$R$7:$R$16</c:f>
              <c:numCache>
                <c:formatCode>#,##0</c:formatCode>
                <c:ptCount val="10"/>
                <c:pt idx="0">
                  <c:v>30300</c:v>
                </c:pt>
                <c:pt idx="1">
                  <c:v>35500</c:v>
                </c:pt>
                <c:pt idx="2">
                  <c:v>37100</c:v>
                </c:pt>
                <c:pt idx="3">
                  <c:v>39200</c:v>
                </c:pt>
                <c:pt idx="4">
                  <c:v>44000</c:v>
                </c:pt>
                <c:pt idx="5">
                  <c:v>44500</c:v>
                </c:pt>
                <c:pt idx="6">
                  <c:v>50200</c:v>
                </c:pt>
                <c:pt idx="7">
                  <c:v>46000</c:v>
                </c:pt>
                <c:pt idx="8">
                  <c:v>51100</c:v>
                </c:pt>
                <c:pt idx="9">
                  <c:v>42700</c:v>
                </c:pt>
              </c:numCache>
            </c:numRef>
          </c:val>
          <c:extLst>
            <c:ext xmlns:c16="http://schemas.microsoft.com/office/drawing/2014/chart" uri="{C3380CC4-5D6E-409C-BE32-E72D297353CC}">
              <c16:uniqueId val="{00000000-AC59-468A-85B2-04FE0A6726F0}"/>
            </c:ext>
          </c:extLst>
        </c:ser>
        <c:ser>
          <c:idx val="6"/>
          <c:order val="6"/>
          <c:tx>
            <c:strRef>
              <c:f>'Bruttoreginalprod je EW'!$S$6</c:f>
              <c:strCache>
                <c:ptCount val="1"/>
                <c:pt idx="0">
                  <c:v>2021</c:v>
                </c:pt>
              </c:strCache>
            </c:strRef>
          </c:tx>
          <c:spPr>
            <a:solidFill>
              <a:srgbClr val="FF0000"/>
            </a:solidFill>
          </c:spPr>
          <c:invertIfNegative val="0"/>
          <c:cat>
            <c:strRef>
              <c:f>'Bruttoreginalprod je EW'!$L$7:$L$16</c:f>
              <c:strCache>
                <c:ptCount val="10"/>
                <c:pt idx="0">
                  <c:v>Burgenland</c:v>
                </c:pt>
                <c:pt idx="1">
                  <c:v>Niederösterr.</c:v>
                </c:pt>
                <c:pt idx="2">
                  <c:v>Kärnten</c:v>
                </c:pt>
                <c:pt idx="3">
                  <c:v>Steiermark</c:v>
                </c:pt>
                <c:pt idx="4">
                  <c:v>Oberösterr.</c:v>
                </c:pt>
                <c:pt idx="5">
                  <c:v>Tirol </c:v>
                </c:pt>
                <c:pt idx="6">
                  <c:v>Wien </c:v>
                </c:pt>
                <c:pt idx="7">
                  <c:v>Vorarlberg</c:v>
                </c:pt>
                <c:pt idx="8">
                  <c:v>Salzburg</c:v>
                </c:pt>
                <c:pt idx="9">
                  <c:v>Österreich</c:v>
                </c:pt>
              </c:strCache>
            </c:strRef>
          </c:cat>
          <c:val>
            <c:numRef>
              <c:f>'Bruttoreginalprod je EW'!$S$7:$S$16</c:f>
              <c:numCache>
                <c:formatCode>#,##0</c:formatCode>
                <c:ptCount val="10"/>
                <c:pt idx="0">
                  <c:v>32000</c:v>
                </c:pt>
                <c:pt idx="1">
                  <c:v>37700</c:v>
                </c:pt>
                <c:pt idx="2">
                  <c:v>39400</c:v>
                </c:pt>
                <c:pt idx="3">
                  <c:v>41500</c:v>
                </c:pt>
                <c:pt idx="4">
                  <c:v>47000</c:v>
                </c:pt>
                <c:pt idx="5">
                  <c:v>45100</c:v>
                </c:pt>
                <c:pt idx="6">
                  <c:v>53400</c:v>
                </c:pt>
                <c:pt idx="7">
                  <c:v>51300</c:v>
                </c:pt>
                <c:pt idx="8">
                  <c:v>52600</c:v>
                </c:pt>
                <c:pt idx="9">
                  <c:v>45300</c:v>
                </c:pt>
              </c:numCache>
            </c:numRef>
          </c:val>
          <c:extLst>
            <c:ext xmlns:c16="http://schemas.microsoft.com/office/drawing/2014/chart" uri="{C3380CC4-5D6E-409C-BE32-E72D297353CC}">
              <c16:uniqueId val="{00000000-AD2B-463F-BFA6-78BF160D111E}"/>
            </c:ext>
          </c:extLst>
        </c:ser>
        <c:ser>
          <c:idx val="7"/>
          <c:order val="7"/>
          <c:tx>
            <c:strRef>
              <c:f>'Bruttoreginalprod je EW'!$T$6</c:f>
              <c:strCache>
                <c:ptCount val="1"/>
                <c:pt idx="0">
                  <c:v>2022 1</c:v>
                </c:pt>
              </c:strCache>
            </c:strRef>
          </c:tx>
          <c:invertIfNegative val="0"/>
          <c:cat>
            <c:strRef>
              <c:f>'Bruttoreginalprod je EW'!$L$7:$L$16</c:f>
              <c:strCache>
                <c:ptCount val="10"/>
                <c:pt idx="0">
                  <c:v>Burgenland</c:v>
                </c:pt>
                <c:pt idx="1">
                  <c:v>Niederösterr.</c:v>
                </c:pt>
                <c:pt idx="2">
                  <c:v>Kärnten</c:v>
                </c:pt>
                <c:pt idx="3">
                  <c:v>Steiermark</c:v>
                </c:pt>
                <c:pt idx="4">
                  <c:v>Oberösterr.</c:v>
                </c:pt>
                <c:pt idx="5">
                  <c:v>Tirol </c:v>
                </c:pt>
                <c:pt idx="6">
                  <c:v>Wien </c:v>
                </c:pt>
                <c:pt idx="7">
                  <c:v>Vorarlberg</c:v>
                </c:pt>
                <c:pt idx="8">
                  <c:v>Salzburg</c:v>
                </c:pt>
                <c:pt idx="9">
                  <c:v>Österreich</c:v>
                </c:pt>
              </c:strCache>
            </c:strRef>
          </c:cat>
          <c:val>
            <c:numRef>
              <c:f>'Bruttoreginalprod je EW'!$T$7:$T$16</c:f>
              <c:numCache>
                <c:formatCode>#,##0</c:formatCode>
                <c:ptCount val="10"/>
                <c:pt idx="0">
                  <c:v>34900</c:v>
                </c:pt>
                <c:pt idx="1">
                  <c:v>41900</c:v>
                </c:pt>
                <c:pt idx="2">
                  <c:v>43600</c:v>
                </c:pt>
                <c:pt idx="3">
                  <c:v>44600</c:v>
                </c:pt>
                <c:pt idx="4">
                  <c:v>50700</c:v>
                </c:pt>
                <c:pt idx="5">
                  <c:v>51200</c:v>
                </c:pt>
                <c:pt idx="6">
                  <c:v>56600</c:v>
                </c:pt>
                <c:pt idx="7">
                  <c:v>58300</c:v>
                </c:pt>
                <c:pt idx="8">
                  <c:v>58900</c:v>
                </c:pt>
                <c:pt idx="9">
                  <c:v>49400</c:v>
                </c:pt>
              </c:numCache>
            </c:numRef>
          </c:val>
          <c:extLst>
            <c:ext xmlns:c16="http://schemas.microsoft.com/office/drawing/2014/chart" uri="{C3380CC4-5D6E-409C-BE32-E72D297353CC}">
              <c16:uniqueId val="{00000000-BA1E-468D-8F57-A52DBE3E3967}"/>
            </c:ext>
          </c:extLst>
        </c:ser>
        <c:dLbls>
          <c:showLegendKey val="0"/>
          <c:showVal val="0"/>
          <c:showCatName val="0"/>
          <c:showSerName val="0"/>
          <c:showPercent val="0"/>
          <c:showBubbleSize val="0"/>
        </c:dLbls>
        <c:gapWidth val="150"/>
        <c:axId val="119442048"/>
        <c:axId val="119460224"/>
      </c:barChart>
      <c:catAx>
        <c:axId val="119442048"/>
        <c:scaling>
          <c:orientation val="minMax"/>
        </c:scaling>
        <c:delete val="0"/>
        <c:axPos val="l"/>
        <c:numFmt formatCode="General" sourceLinked="0"/>
        <c:majorTickMark val="out"/>
        <c:minorTickMark val="none"/>
        <c:tickLblPos val="nextTo"/>
        <c:crossAx val="119460224"/>
        <c:crosses val="autoZero"/>
        <c:auto val="1"/>
        <c:lblAlgn val="ctr"/>
        <c:lblOffset val="100"/>
        <c:noMultiLvlLbl val="0"/>
      </c:catAx>
      <c:valAx>
        <c:axId val="119460224"/>
        <c:scaling>
          <c:orientation val="minMax"/>
        </c:scaling>
        <c:delete val="0"/>
        <c:axPos val="b"/>
        <c:majorGridlines/>
        <c:numFmt formatCode="#,##0" sourceLinked="1"/>
        <c:majorTickMark val="out"/>
        <c:minorTickMark val="none"/>
        <c:tickLblPos val="nextTo"/>
        <c:crossAx val="11944204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'Reale Bruttowertschöpfung'!$C$4</c:f>
              <c:strCache>
                <c:ptCount val="1"/>
                <c:pt idx="0">
                  <c:v>Vorarlberg</c:v>
                </c:pt>
              </c:strCache>
            </c:strRef>
          </c:tx>
          <c:spPr>
            <a:ln>
              <a:solidFill>
                <a:schemeClr val="tx1">
                  <a:lumMod val="65000"/>
                  <a:lumOff val="35000"/>
                </a:schemeClr>
              </a:solidFill>
            </a:ln>
          </c:spPr>
          <c:marker>
            <c:symbol val="none"/>
          </c:marker>
          <c:cat>
            <c:strRef>
              <c:f>'Reale Bruttowertschöpfung'!$A$5:$B$18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2023 1</c:v>
                </c:pt>
              </c:strCache>
            </c:strRef>
          </c:cat>
          <c:val>
            <c:numRef>
              <c:f>'Reale Bruttowertschöpfung'!$C$5:$C$18</c:f>
              <c:numCache>
                <c:formatCode>0.0%</c:formatCode>
                <c:ptCount val="14"/>
                <c:pt idx="0">
                  <c:v>2.5999999999999999E-2</c:v>
                </c:pt>
                <c:pt idx="1">
                  <c:v>3.2000000000000001E-2</c:v>
                </c:pt>
                <c:pt idx="2">
                  <c:v>3.0000000000000001E-3</c:v>
                </c:pt>
                <c:pt idx="3">
                  <c:v>1.7999999999999999E-2</c:v>
                </c:pt>
                <c:pt idx="4">
                  <c:v>2.9000000000000001E-2</c:v>
                </c:pt>
                <c:pt idx="5">
                  <c:v>2.3E-2</c:v>
                </c:pt>
                <c:pt idx="6">
                  <c:v>8.0000000000000002E-3</c:v>
                </c:pt>
                <c:pt idx="7">
                  <c:v>0.03</c:v>
                </c:pt>
                <c:pt idx="8">
                  <c:v>1.2999999999999999E-2</c:v>
                </c:pt>
                <c:pt idx="9">
                  <c:v>1.7999999999999999E-2</c:v>
                </c:pt>
                <c:pt idx="10">
                  <c:v>-5.7000000000000002E-2</c:v>
                </c:pt>
                <c:pt idx="11">
                  <c:v>3.7999999999999999E-2</c:v>
                </c:pt>
                <c:pt idx="12">
                  <c:v>4.4000000000000004E-2</c:v>
                </c:pt>
                <c:pt idx="13">
                  <c:v>-1.0999999999999999E-2</c:v>
                </c:pt>
              </c:numCache>
            </c:numRef>
          </c:val>
          <c:smooth val="0"/>
          <c:extLst>
            <c:ext xmlns:c16="http://schemas.microsoft.com/office/drawing/2014/chart" uri="{C3380CC4-5D6E-409C-BE32-E72D297353CC}">
              <c16:uniqueId val="{00000000-F9C2-4DE9-AF87-67AE851ED068}"/>
            </c:ext>
          </c:extLst>
        </c:ser>
        <c:ser>
          <c:idx val="1"/>
          <c:order val="1"/>
          <c:tx>
            <c:strRef>
              <c:f>'Reale Bruttowertschöpfung'!$D$4</c:f>
              <c:strCache>
                <c:ptCount val="1"/>
                <c:pt idx="0">
                  <c:v>Österreich</c:v>
                </c:pt>
              </c:strCache>
            </c:strRef>
          </c:tx>
          <c:spPr>
            <a:ln>
              <a:solidFill>
                <a:srgbClr val="FF0000"/>
              </a:solidFill>
            </a:ln>
          </c:spPr>
          <c:marker>
            <c:symbol val="none"/>
          </c:marker>
          <c:cat>
            <c:strRef>
              <c:f>'Reale Bruttowertschöpfung'!$A$5:$B$18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2023 1</c:v>
                </c:pt>
              </c:strCache>
            </c:strRef>
          </c:cat>
          <c:val>
            <c:numRef>
              <c:f>'Reale Bruttowertschöpfung'!$D$5:$D$18</c:f>
              <c:numCache>
                <c:formatCode>0.0%</c:formatCode>
                <c:ptCount val="14"/>
                <c:pt idx="0">
                  <c:v>0.02</c:v>
                </c:pt>
                <c:pt idx="1">
                  <c:v>0.03</c:v>
                </c:pt>
                <c:pt idx="2">
                  <c:v>7.0000000000000001E-3</c:v>
                </c:pt>
                <c:pt idx="3">
                  <c:v>2E-3</c:v>
                </c:pt>
                <c:pt idx="4">
                  <c:v>7.0000000000000001E-3</c:v>
                </c:pt>
                <c:pt idx="5">
                  <c:v>8.0000000000000002E-3</c:v>
                </c:pt>
                <c:pt idx="6">
                  <c:v>1.9E-2</c:v>
                </c:pt>
                <c:pt idx="7">
                  <c:v>2.3E-2</c:v>
                </c:pt>
                <c:pt idx="8">
                  <c:v>2.5999999999999999E-2</c:v>
                </c:pt>
                <c:pt idx="9">
                  <c:v>1.4999999999999999E-2</c:v>
                </c:pt>
                <c:pt idx="10">
                  <c:v>-6.5000000000000002E-2</c:v>
                </c:pt>
                <c:pt idx="11">
                  <c:v>0.04</c:v>
                </c:pt>
                <c:pt idx="12">
                  <c:v>4.9000000000000002E-2</c:v>
                </c:pt>
                <c:pt idx="13">
                  <c:v>-6.0000000000000001E-3</c:v>
                </c:pt>
              </c:numCache>
            </c:numRef>
          </c:val>
          <c:smooth val="0"/>
          <c:extLst>
            <c:ext xmlns:c16="http://schemas.microsoft.com/office/drawing/2014/chart" uri="{C3380CC4-5D6E-409C-BE32-E72D297353CC}">
              <c16:uniqueId val="{00000001-F9C2-4DE9-AF87-67AE851ED068}"/>
            </c:ext>
          </c:extLst>
        </c:ser>
        <c:dLbls>
          <c:showLegendKey val="0"/>
          <c:showVal val="0"/>
          <c:showCatName val="0"/>
          <c:showSerName val="0"/>
          <c:showPercent val="0"/>
          <c:showBubbleSize val="0"/>
        </c:dLbls>
        <c:smooth val="0"/>
        <c:axId val="119592832"/>
        <c:axId val="119594368"/>
      </c:lineChart>
      <c:catAx>
        <c:axId val="119592832"/>
        <c:scaling>
          <c:orientation val="minMax"/>
        </c:scaling>
        <c:delete val="0"/>
        <c:axPos val="b"/>
        <c:numFmt formatCode="General" sourceLinked="0"/>
        <c:majorTickMark val="out"/>
        <c:minorTickMark val="none"/>
        <c:tickLblPos val="nextTo"/>
        <c:crossAx val="119594368"/>
        <c:crosses val="autoZero"/>
        <c:auto val="1"/>
        <c:lblAlgn val="ctr"/>
        <c:lblOffset val="100"/>
        <c:noMultiLvlLbl val="0"/>
      </c:catAx>
      <c:valAx>
        <c:axId val="119594368"/>
        <c:scaling>
          <c:orientation val="minMax"/>
        </c:scaling>
        <c:delete val="0"/>
        <c:axPos val="l"/>
        <c:majorGridlines/>
        <c:numFmt formatCode="0.0%" sourceLinked="1"/>
        <c:majorTickMark val="out"/>
        <c:minorTickMark val="none"/>
        <c:tickLblPos val="nextTo"/>
        <c:crossAx val="11959283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'Sachgüterproduktion je EW'!$C$5</c:f>
              <c:strCache>
                <c:ptCount val="1"/>
                <c:pt idx="0">
                  <c:v>2013</c:v>
                </c:pt>
              </c:strCache>
            </c:strRef>
          </c:tx>
          <c:spPr>
            <a:solidFill>
              <a:schemeClr val="bg1">
                <a:lumMod val="75000"/>
              </a:schemeClr>
            </a:solidFill>
          </c:spPr>
          <c:invertIfNegative val="0"/>
          <c:cat>
            <c:strRef>
              <c:f>'Sachgüterproduktion je EW'!$A$6:$B$15</c:f>
              <c:strCache>
                <c:ptCount val="10"/>
                <c:pt idx="0">
                  <c:v>Oberösterreich</c:v>
                </c:pt>
                <c:pt idx="1">
                  <c:v>Vorarlberg</c:v>
                </c:pt>
                <c:pt idx="2">
                  <c:v>Salzburg</c:v>
                </c:pt>
                <c:pt idx="3">
                  <c:v>Steiermark</c:v>
                </c:pt>
                <c:pt idx="4">
                  <c:v>Kärnten </c:v>
                </c:pt>
                <c:pt idx="5">
                  <c:v>Niederösterreich</c:v>
                </c:pt>
                <c:pt idx="6">
                  <c:v>Tirol</c:v>
                </c:pt>
                <c:pt idx="7">
                  <c:v>Burgenland</c:v>
                </c:pt>
                <c:pt idx="8">
                  <c:v>Wien </c:v>
                </c:pt>
                <c:pt idx="9">
                  <c:v>Österreich</c:v>
                </c:pt>
              </c:strCache>
            </c:strRef>
          </c:cat>
          <c:val>
            <c:numRef>
              <c:f>'Sachgüterproduktion je EW'!$C$6:$C$15</c:f>
              <c:numCache>
                <c:formatCode>#,##0</c:formatCode>
                <c:ptCount val="10"/>
                <c:pt idx="0">
                  <c:v>36795</c:v>
                </c:pt>
                <c:pt idx="1">
                  <c:v>27839</c:v>
                </c:pt>
                <c:pt idx="2">
                  <c:v>23466</c:v>
                </c:pt>
                <c:pt idx="3">
                  <c:v>26077</c:v>
                </c:pt>
                <c:pt idx="4">
                  <c:v>18006</c:v>
                </c:pt>
                <c:pt idx="5">
                  <c:v>24512</c:v>
                </c:pt>
                <c:pt idx="6">
                  <c:v>19163</c:v>
                </c:pt>
                <c:pt idx="7">
                  <c:v>15025</c:v>
                </c:pt>
                <c:pt idx="8">
                  <c:v>12035</c:v>
                </c:pt>
                <c:pt idx="9">
                  <c:v>23095</c:v>
                </c:pt>
              </c:numCache>
            </c:numRef>
          </c:val>
          <c:extLst>
            <c:ext xmlns:c16="http://schemas.microsoft.com/office/drawing/2014/chart" uri="{C3380CC4-5D6E-409C-BE32-E72D297353CC}">
              <c16:uniqueId val="{00000000-A5AF-43EF-9F88-6B6480FAA466}"/>
            </c:ext>
          </c:extLst>
        </c:ser>
        <c:ser>
          <c:idx val="1"/>
          <c:order val="1"/>
          <c:tx>
            <c:strRef>
              <c:f>'Sachgüterproduktion je EW'!$D$5</c:f>
              <c:strCache>
                <c:ptCount val="1"/>
                <c:pt idx="0">
                  <c:v>2014</c:v>
                </c:pt>
              </c:strCache>
            </c:strRef>
          </c:tx>
          <c:spPr>
            <a:solidFill>
              <a:schemeClr val="tx1">
                <a:lumMod val="50000"/>
                <a:lumOff val="50000"/>
              </a:schemeClr>
            </a:solidFill>
          </c:spPr>
          <c:invertIfNegative val="0"/>
          <c:cat>
            <c:strRef>
              <c:f>'Sachgüterproduktion je EW'!$A$6:$B$15</c:f>
              <c:strCache>
                <c:ptCount val="10"/>
                <c:pt idx="0">
                  <c:v>Oberösterreich</c:v>
                </c:pt>
                <c:pt idx="1">
                  <c:v>Vorarlberg</c:v>
                </c:pt>
                <c:pt idx="2">
                  <c:v>Salzburg</c:v>
                </c:pt>
                <c:pt idx="3">
                  <c:v>Steiermark</c:v>
                </c:pt>
                <c:pt idx="4">
                  <c:v>Kärnten </c:v>
                </c:pt>
                <c:pt idx="5">
                  <c:v>Niederösterreich</c:v>
                </c:pt>
                <c:pt idx="6">
                  <c:v>Tirol</c:v>
                </c:pt>
                <c:pt idx="7">
                  <c:v>Burgenland</c:v>
                </c:pt>
                <c:pt idx="8">
                  <c:v>Wien </c:v>
                </c:pt>
                <c:pt idx="9">
                  <c:v>Österreich</c:v>
                </c:pt>
              </c:strCache>
            </c:strRef>
          </c:cat>
          <c:val>
            <c:numRef>
              <c:f>'Sachgüterproduktion je EW'!$D$6:$D$15</c:f>
              <c:numCache>
                <c:formatCode>#,##0</c:formatCode>
                <c:ptCount val="10"/>
                <c:pt idx="0">
                  <c:v>36840</c:v>
                </c:pt>
                <c:pt idx="1">
                  <c:v>30103</c:v>
                </c:pt>
                <c:pt idx="2">
                  <c:v>22704</c:v>
                </c:pt>
                <c:pt idx="3">
                  <c:v>26235</c:v>
                </c:pt>
                <c:pt idx="4">
                  <c:v>17701</c:v>
                </c:pt>
                <c:pt idx="5">
                  <c:v>23119</c:v>
                </c:pt>
                <c:pt idx="6">
                  <c:v>19050</c:v>
                </c:pt>
                <c:pt idx="7">
                  <c:v>15893</c:v>
                </c:pt>
                <c:pt idx="8">
                  <c:v>10810</c:v>
                </c:pt>
                <c:pt idx="9">
                  <c:v>22602</c:v>
                </c:pt>
              </c:numCache>
            </c:numRef>
          </c:val>
          <c:extLst>
            <c:ext xmlns:c16="http://schemas.microsoft.com/office/drawing/2014/chart" uri="{C3380CC4-5D6E-409C-BE32-E72D297353CC}">
              <c16:uniqueId val="{00000001-A5AF-43EF-9F88-6B6480FAA466}"/>
            </c:ext>
          </c:extLst>
        </c:ser>
        <c:ser>
          <c:idx val="2"/>
          <c:order val="2"/>
          <c:tx>
            <c:strRef>
              <c:f>'Sachgüterproduktion je EW'!$E$5</c:f>
              <c:strCache>
                <c:ptCount val="1"/>
                <c:pt idx="0">
                  <c:v>2016</c:v>
                </c:pt>
              </c:strCache>
              <c:extLst xmlns:c15="http://schemas.microsoft.com/office/drawing/2012/chart"/>
            </c:strRef>
          </c:tx>
          <c:spPr>
            <a:solidFill>
              <a:schemeClr val="tx1">
                <a:lumMod val="75000"/>
                <a:lumOff val="25000"/>
              </a:schemeClr>
            </a:solidFill>
          </c:spPr>
          <c:invertIfNegative val="0"/>
          <c:cat>
            <c:strRef>
              <c:f>'Sachgüterproduktion je EW'!$A$6:$B$15</c:f>
              <c:strCache>
                <c:ptCount val="10"/>
                <c:pt idx="0">
                  <c:v>Oberösterreich</c:v>
                </c:pt>
                <c:pt idx="1">
                  <c:v>Vorarlberg</c:v>
                </c:pt>
                <c:pt idx="2">
                  <c:v>Salzburg</c:v>
                </c:pt>
                <c:pt idx="3">
                  <c:v>Steiermark</c:v>
                </c:pt>
                <c:pt idx="4">
                  <c:v>Kärnten </c:v>
                </c:pt>
                <c:pt idx="5">
                  <c:v>Niederösterreich</c:v>
                </c:pt>
                <c:pt idx="6">
                  <c:v>Tirol</c:v>
                </c:pt>
                <c:pt idx="7">
                  <c:v>Burgenland</c:v>
                </c:pt>
                <c:pt idx="8">
                  <c:v>Wien </c:v>
                </c:pt>
                <c:pt idx="9">
                  <c:v>Österreich</c:v>
                </c:pt>
              </c:strCache>
              <c:extLst xmlns:c15="http://schemas.microsoft.com/office/drawing/2012/chart"/>
            </c:strRef>
          </c:cat>
          <c:val>
            <c:numRef>
              <c:f>'Sachgüterproduktion je EW'!$E$6:$E$15</c:f>
              <c:numCache>
                <c:formatCode>#,##0</c:formatCode>
                <c:ptCount val="10"/>
                <c:pt idx="0">
                  <c:v>36912</c:v>
                </c:pt>
                <c:pt idx="1">
                  <c:v>30956</c:v>
                </c:pt>
                <c:pt idx="2">
                  <c:v>24215</c:v>
                </c:pt>
                <c:pt idx="3">
                  <c:v>25574</c:v>
                </c:pt>
                <c:pt idx="4">
                  <c:v>19385</c:v>
                </c:pt>
                <c:pt idx="5">
                  <c:v>21242</c:v>
                </c:pt>
                <c:pt idx="6">
                  <c:v>19802</c:v>
                </c:pt>
                <c:pt idx="7">
                  <c:v>15833</c:v>
                </c:pt>
                <c:pt idx="8">
                  <c:v>10164</c:v>
                </c:pt>
                <c:pt idx="9">
                  <c:v>22318</c:v>
                </c:pt>
              </c:numCache>
              <c:extLst xmlns:c15="http://schemas.microsoft.com/office/drawing/2012/chart"/>
            </c:numRef>
          </c:val>
          <c:extLst xmlns:c15="http://schemas.microsoft.com/office/drawing/2012/chart">
            <c:ext xmlns:c16="http://schemas.microsoft.com/office/drawing/2014/chart" uri="{C3380CC4-5D6E-409C-BE32-E72D297353CC}">
              <c16:uniqueId val="{00000002-A5AF-43EF-9F88-6B6480FAA466}"/>
            </c:ext>
          </c:extLst>
        </c:ser>
        <c:ser>
          <c:idx val="3"/>
          <c:order val="3"/>
          <c:tx>
            <c:strRef>
              <c:f>'Sachgüterproduktion je EW'!$F$5</c:f>
              <c:strCache>
                <c:ptCount val="1"/>
                <c:pt idx="0">
                  <c:v>2020</c:v>
                </c:pt>
              </c:strCache>
            </c:strRef>
          </c:tx>
          <c:invertIfNegative val="0"/>
          <c:cat>
            <c:strRef>
              <c:f>'Sachgüterproduktion je EW'!$A$6:$B$15</c:f>
              <c:strCache>
                <c:ptCount val="10"/>
                <c:pt idx="0">
                  <c:v>Oberösterreich</c:v>
                </c:pt>
                <c:pt idx="1">
                  <c:v>Vorarlberg</c:v>
                </c:pt>
                <c:pt idx="2">
                  <c:v>Salzburg</c:v>
                </c:pt>
                <c:pt idx="3">
                  <c:v>Steiermark</c:v>
                </c:pt>
                <c:pt idx="4">
                  <c:v>Kärnten </c:v>
                </c:pt>
                <c:pt idx="5">
                  <c:v>Niederösterreich</c:v>
                </c:pt>
                <c:pt idx="6">
                  <c:v>Tirol</c:v>
                </c:pt>
                <c:pt idx="7">
                  <c:v>Burgenland</c:v>
                </c:pt>
                <c:pt idx="8">
                  <c:v>Wien </c:v>
                </c:pt>
                <c:pt idx="9">
                  <c:v>Österreich</c:v>
                </c:pt>
              </c:strCache>
            </c:strRef>
          </c:cat>
          <c:val>
            <c:numRef>
              <c:f>'SachgüterprodwertMTTab25 (2)'!#REF!</c:f>
              <c:numCache>
                <c:formatCode>General</c:formatCode>
                <c:ptCount val="1"/>
                <c:pt idx="0">
                  <c:v>1</c:v>
                </c:pt>
              </c:numCache>
            </c:numRef>
          </c:val>
          <c:extLst>
            <c:ext xmlns:c16="http://schemas.microsoft.com/office/drawing/2014/chart" uri="{C3380CC4-5D6E-409C-BE32-E72D297353CC}">
              <c16:uniqueId val="{00000003-A5AF-43EF-9F88-6B6480FAA466}"/>
            </c:ext>
          </c:extLst>
        </c:ser>
        <c:ser>
          <c:idx val="4"/>
          <c:order val="4"/>
          <c:tx>
            <c:strRef>
              <c:f>'Sachgüterproduktion je EW'!$G$5</c:f>
              <c:strCache>
                <c:ptCount val="1"/>
                <c:pt idx="0">
                  <c:v>2021</c:v>
                </c:pt>
              </c:strCache>
            </c:strRef>
          </c:tx>
          <c:spPr>
            <a:solidFill>
              <a:schemeClr val="tx1">
                <a:lumMod val="95000"/>
                <a:lumOff val="5000"/>
              </a:schemeClr>
            </a:solidFill>
          </c:spPr>
          <c:invertIfNegative val="0"/>
          <c:cat>
            <c:strRef>
              <c:f>'Sachgüterproduktion je EW'!$A$6:$B$15</c:f>
              <c:strCache>
                <c:ptCount val="10"/>
                <c:pt idx="0">
                  <c:v>Oberösterreich</c:v>
                </c:pt>
                <c:pt idx="1">
                  <c:v>Vorarlberg</c:v>
                </c:pt>
                <c:pt idx="2">
                  <c:v>Salzburg</c:v>
                </c:pt>
                <c:pt idx="3">
                  <c:v>Steiermark</c:v>
                </c:pt>
                <c:pt idx="4">
                  <c:v>Kärnten </c:v>
                </c:pt>
                <c:pt idx="5">
                  <c:v>Niederösterreich</c:v>
                </c:pt>
                <c:pt idx="6">
                  <c:v>Tirol</c:v>
                </c:pt>
                <c:pt idx="7">
                  <c:v>Burgenland</c:v>
                </c:pt>
                <c:pt idx="8">
                  <c:v>Wien </c:v>
                </c:pt>
                <c:pt idx="9">
                  <c:v>Österreich</c:v>
                </c:pt>
              </c:strCache>
            </c:strRef>
          </c:cat>
          <c:val>
            <c:numRef>
              <c:f>'Sachgüterproduktion je EW'!$F$6:$F$15</c:f>
              <c:numCache>
                <c:formatCode>#,##0</c:formatCode>
                <c:ptCount val="10"/>
                <c:pt idx="0">
                  <c:v>38181</c:v>
                </c:pt>
                <c:pt idx="1">
                  <c:v>31056</c:v>
                </c:pt>
                <c:pt idx="2">
                  <c:v>26178</c:v>
                </c:pt>
                <c:pt idx="3">
                  <c:v>28282</c:v>
                </c:pt>
                <c:pt idx="4">
                  <c:v>22279</c:v>
                </c:pt>
                <c:pt idx="5">
                  <c:v>21714</c:v>
                </c:pt>
                <c:pt idx="6">
                  <c:v>22075</c:v>
                </c:pt>
                <c:pt idx="7">
                  <c:v>16215</c:v>
                </c:pt>
                <c:pt idx="8">
                  <c:v>11031</c:v>
                </c:pt>
                <c:pt idx="9">
                  <c:v>23678</c:v>
                </c:pt>
              </c:numCache>
            </c:numRef>
          </c:val>
          <c:extLst>
            <c:ext xmlns:c16="http://schemas.microsoft.com/office/drawing/2014/chart" uri="{C3380CC4-5D6E-409C-BE32-E72D297353CC}">
              <c16:uniqueId val="{00000004-A5AF-43EF-9F88-6B6480FAA466}"/>
            </c:ext>
          </c:extLst>
        </c:ser>
        <c:ser>
          <c:idx val="5"/>
          <c:order val="5"/>
          <c:tx>
            <c:strRef>
              <c:f>'Sachgüterproduktion je EW'!$H$5</c:f>
              <c:strCache>
                <c:ptCount val="1"/>
                <c:pt idx="0">
                  <c:v>2022</c:v>
                </c:pt>
              </c:strCache>
            </c:strRef>
          </c:tx>
          <c:spPr>
            <a:solidFill>
              <a:schemeClr val="tx1">
                <a:lumMod val="95000"/>
                <a:lumOff val="5000"/>
              </a:schemeClr>
            </a:solidFill>
          </c:spPr>
          <c:invertIfNegative val="0"/>
          <c:cat>
            <c:strRef>
              <c:f>'Sachgüterproduktion je EW'!$A$6:$B$15</c:f>
              <c:strCache>
                <c:ptCount val="10"/>
                <c:pt idx="0">
                  <c:v>Oberösterreich</c:v>
                </c:pt>
                <c:pt idx="1">
                  <c:v>Vorarlberg</c:v>
                </c:pt>
                <c:pt idx="2">
                  <c:v>Salzburg</c:v>
                </c:pt>
                <c:pt idx="3">
                  <c:v>Steiermark</c:v>
                </c:pt>
                <c:pt idx="4">
                  <c:v>Kärnten </c:v>
                </c:pt>
                <c:pt idx="5">
                  <c:v>Niederösterreich</c:v>
                </c:pt>
                <c:pt idx="6">
                  <c:v>Tirol</c:v>
                </c:pt>
                <c:pt idx="7">
                  <c:v>Burgenland</c:v>
                </c:pt>
                <c:pt idx="8">
                  <c:v>Wien </c:v>
                </c:pt>
                <c:pt idx="9">
                  <c:v>Österreich</c:v>
                </c:pt>
              </c:strCache>
            </c:strRef>
          </c:cat>
          <c:val>
            <c:numRef>
              <c:f>'Sachgüterproduktion je EW'!$H$6:$H$15</c:f>
              <c:numCache>
                <c:formatCode>#,##0</c:formatCode>
                <c:ptCount val="10"/>
                <c:pt idx="0">
                  <c:v>52045</c:v>
                </c:pt>
                <c:pt idx="1">
                  <c:v>40816</c:v>
                </c:pt>
                <c:pt idx="2">
                  <c:v>37319</c:v>
                </c:pt>
                <c:pt idx="3">
                  <c:v>36987</c:v>
                </c:pt>
                <c:pt idx="4">
                  <c:v>31647</c:v>
                </c:pt>
                <c:pt idx="5">
                  <c:v>30571</c:v>
                </c:pt>
                <c:pt idx="6">
                  <c:v>27897</c:v>
                </c:pt>
                <c:pt idx="7">
                  <c:v>20359</c:v>
                </c:pt>
                <c:pt idx="8">
                  <c:v>13449</c:v>
                </c:pt>
                <c:pt idx="9">
                  <c:v>31730</c:v>
                </c:pt>
              </c:numCache>
            </c:numRef>
          </c:val>
          <c:extLst>
            <c:ext xmlns:c16="http://schemas.microsoft.com/office/drawing/2014/chart" uri="{C3380CC4-5D6E-409C-BE32-E72D297353CC}">
              <c16:uniqueId val="{00000000-3A39-411B-97EA-12DC75E7C4CE}"/>
            </c:ext>
          </c:extLst>
        </c:ser>
        <c:ser>
          <c:idx val="6"/>
          <c:order val="6"/>
          <c:tx>
            <c:strRef>
              <c:f>'Sachgüterproduktion je EW'!$I$5</c:f>
              <c:strCache>
                <c:ptCount val="1"/>
                <c:pt idx="0">
                  <c:v>2023</c:v>
                </c:pt>
              </c:strCache>
            </c:strRef>
          </c:tx>
          <c:spPr>
            <a:solidFill>
              <a:srgbClr val="FF0000"/>
            </a:solidFill>
          </c:spPr>
          <c:invertIfNegative val="0"/>
          <c:val>
            <c:numRef>
              <c:f>'Sachgüterproduktion je EW'!$I$6:$I$15</c:f>
              <c:numCache>
                <c:formatCode>#,##0</c:formatCode>
                <c:ptCount val="10"/>
                <c:pt idx="0">
                  <c:v>50348</c:v>
                </c:pt>
                <c:pt idx="1">
                  <c:v>38942</c:v>
                </c:pt>
                <c:pt idx="2">
                  <c:v>38131</c:v>
                </c:pt>
                <c:pt idx="3">
                  <c:v>36308</c:v>
                </c:pt>
                <c:pt idx="4">
                  <c:v>31149</c:v>
                </c:pt>
                <c:pt idx="5">
                  <c:v>29632</c:v>
                </c:pt>
                <c:pt idx="6">
                  <c:v>27651</c:v>
                </c:pt>
                <c:pt idx="7">
                  <c:v>21271</c:v>
                </c:pt>
                <c:pt idx="8">
                  <c:v>12823</c:v>
                </c:pt>
                <c:pt idx="9">
                  <c:v>30951</c:v>
                </c:pt>
              </c:numCache>
            </c:numRef>
          </c:val>
          <c:extLst>
            <c:ext xmlns:c16="http://schemas.microsoft.com/office/drawing/2014/chart" uri="{C3380CC4-5D6E-409C-BE32-E72D297353CC}">
              <c16:uniqueId val="{00000004-37F0-4983-9C0D-73BB1EBB8EC2}"/>
            </c:ext>
          </c:extLst>
        </c:ser>
        <c:dLbls>
          <c:showLegendKey val="0"/>
          <c:showVal val="0"/>
          <c:showCatName val="0"/>
          <c:showSerName val="0"/>
          <c:showPercent val="0"/>
          <c:showBubbleSize val="0"/>
        </c:dLbls>
        <c:gapWidth val="150"/>
        <c:axId val="119706752"/>
        <c:axId val="119708288"/>
        <c:extLst/>
      </c:barChart>
      <c:catAx>
        <c:axId val="119706752"/>
        <c:scaling>
          <c:orientation val="minMax"/>
        </c:scaling>
        <c:delete val="0"/>
        <c:axPos val="l"/>
        <c:numFmt formatCode="General" sourceLinked="0"/>
        <c:majorTickMark val="out"/>
        <c:minorTickMark val="none"/>
        <c:tickLblPos val="nextTo"/>
        <c:crossAx val="119708288"/>
        <c:crosses val="autoZero"/>
        <c:auto val="1"/>
        <c:lblAlgn val="ctr"/>
        <c:lblOffset val="100"/>
        <c:noMultiLvlLbl val="0"/>
      </c:catAx>
      <c:valAx>
        <c:axId val="119708288"/>
        <c:scaling>
          <c:orientation val="minMax"/>
        </c:scaling>
        <c:delete val="0"/>
        <c:axPos val="b"/>
        <c:majorGridlines/>
        <c:numFmt formatCode="#,##0" sourceLinked="1"/>
        <c:majorTickMark val="out"/>
        <c:minorTickMark val="none"/>
        <c:tickLblPos val="nextTo"/>
        <c:crossAx val="11970675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'Sachgüterproduktion je EW'!$M$5</c:f>
              <c:strCache>
                <c:ptCount val="1"/>
                <c:pt idx="0">
                  <c:v>2013</c:v>
                </c:pt>
              </c:strCache>
            </c:strRef>
          </c:tx>
          <c:spPr>
            <a:solidFill>
              <a:schemeClr val="bg1">
                <a:lumMod val="85000"/>
              </a:schemeClr>
            </a:solidFill>
          </c:spPr>
          <c:invertIfNegative val="0"/>
          <c:cat>
            <c:strRef>
              <c:f>'Sachgüterproduktion je EW'!$K$6:$L$15</c:f>
              <c:strCache>
                <c:ptCount val="10"/>
                <c:pt idx="0">
                  <c:v>Wien </c:v>
                </c:pt>
                <c:pt idx="1">
                  <c:v>Burgenland</c:v>
                </c:pt>
                <c:pt idx="2">
                  <c:v>Tirol</c:v>
                </c:pt>
                <c:pt idx="3">
                  <c:v>Niederösterreich</c:v>
                </c:pt>
                <c:pt idx="4">
                  <c:v>Kärnten </c:v>
                </c:pt>
                <c:pt idx="5">
                  <c:v>Steiermark</c:v>
                </c:pt>
                <c:pt idx="6">
                  <c:v>Salzburg</c:v>
                </c:pt>
                <c:pt idx="7">
                  <c:v>Vorarlberg</c:v>
                </c:pt>
                <c:pt idx="8">
                  <c:v>Oberösterreich</c:v>
                </c:pt>
                <c:pt idx="9">
                  <c:v>Österreich</c:v>
                </c:pt>
              </c:strCache>
            </c:strRef>
          </c:cat>
          <c:val>
            <c:numRef>
              <c:f>'Sachgüterproduktion je EW'!$M$6:$M$15</c:f>
              <c:numCache>
                <c:formatCode>#,##0</c:formatCode>
                <c:ptCount val="10"/>
                <c:pt idx="0">
                  <c:v>12035</c:v>
                </c:pt>
                <c:pt idx="1">
                  <c:v>15025</c:v>
                </c:pt>
                <c:pt idx="2">
                  <c:v>19163</c:v>
                </c:pt>
                <c:pt idx="3">
                  <c:v>24512</c:v>
                </c:pt>
                <c:pt idx="4">
                  <c:v>18006</c:v>
                </c:pt>
                <c:pt idx="5">
                  <c:v>26077</c:v>
                </c:pt>
                <c:pt idx="6">
                  <c:v>23466</c:v>
                </c:pt>
                <c:pt idx="7">
                  <c:v>27839</c:v>
                </c:pt>
                <c:pt idx="8">
                  <c:v>36795</c:v>
                </c:pt>
                <c:pt idx="9">
                  <c:v>23095</c:v>
                </c:pt>
              </c:numCache>
            </c:numRef>
          </c:val>
          <c:extLst>
            <c:ext xmlns:c16="http://schemas.microsoft.com/office/drawing/2014/chart" uri="{C3380CC4-5D6E-409C-BE32-E72D297353CC}">
              <c16:uniqueId val="{00000000-5732-4238-AD61-29CDBCF0D831}"/>
            </c:ext>
          </c:extLst>
        </c:ser>
        <c:ser>
          <c:idx val="1"/>
          <c:order val="1"/>
          <c:tx>
            <c:strRef>
              <c:f>'Sachgüterproduktion je EW'!$N$5</c:f>
              <c:strCache>
                <c:ptCount val="1"/>
                <c:pt idx="0">
                  <c:v>2014</c:v>
                </c:pt>
              </c:strCache>
            </c:strRef>
          </c:tx>
          <c:spPr>
            <a:solidFill>
              <a:schemeClr val="bg1">
                <a:lumMod val="65000"/>
              </a:schemeClr>
            </a:solidFill>
          </c:spPr>
          <c:invertIfNegative val="0"/>
          <c:cat>
            <c:strRef>
              <c:f>'Sachgüterproduktion je EW'!$K$6:$L$15</c:f>
              <c:strCache>
                <c:ptCount val="10"/>
                <c:pt idx="0">
                  <c:v>Wien </c:v>
                </c:pt>
                <c:pt idx="1">
                  <c:v>Burgenland</c:v>
                </c:pt>
                <c:pt idx="2">
                  <c:v>Tirol</c:v>
                </c:pt>
                <c:pt idx="3">
                  <c:v>Niederösterreich</c:v>
                </c:pt>
                <c:pt idx="4">
                  <c:v>Kärnten </c:v>
                </c:pt>
                <c:pt idx="5">
                  <c:v>Steiermark</c:v>
                </c:pt>
                <c:pt idx="6">
                  <c:v>Salzburg</c:v>
                </c:pt>
                <c:pt idx="7">
                  <c:v>Vorarlberg</c:v>
                </c:pt>
                <c:pt idx="8">
                  <c:v>Oberösterreich</c:v>
                </c:pt>
                <c:pt idx="9">
                  <c:v>Österreich</c:v>
                </c:pt>
              </c:strCache>
            </c:strRef>
          </c:cat>
          <c:val>
            <c:numRef>
              <c:f>'Sachgüterproduktion je EW'!$N$6:$N$15</c:f>
              <c:numCache>
                <c:formatCode>#,##0</c:formatCode>
                <c:ptCount val="10"/>
                <c:pt idx="0">
                  <c:v>10810</c:v>
                </c:pt>
                <c:pt idx="1">
                  <c:v>15893</c:v>
                </c:pt>
                <c:pt idx="2">
                  <c:v>19050</c:v>
                </c:pt>
                <c:pt idx="3">
                  <c:v>23119</c:v>
                </c:pt>
                <c:pt idx="4">
                  <c:v>17701</c:v>
                </c:pt>
                <c:pt idx="5">
                  <c:v>26235</c:v>
                </c:pt>
                <c:pt idx="6">
                  <c:v>22704</c:v>
                </c:pt>
                <c:pt idx="7">
                  <c:v>30103</c:v>
                </c:pt>
                <c:pt idx="8">
                  <c:v>36840</c:v>
                </c:pt>
                <c:pt idx="9">
                  <c:v>22602</c:v>
                </c:pt>
              </c:numCache>
            </c:numRef>
          </c:val>
          <c:extLst>
            <c:ext xmlns:c16="http://schemas.microsoft.com/office/drawing/2014/chart" uri="{C3380CC4-5D6E-409C-BE32-E72D297353CC}">
              <c16:uniqueId val="{00000001-5732-4238-AD61-29CDBCF0D831}"/>
            </c:ext>
          </c:extLst>
        </c:ser>
        <c:ser>
          <c:idx val="2"/>
          <c:order val="2"/>
          <c:tx>
            <c:strRef>
              <c:f>'Sachgüterproduktion je EW'!$O$5</c:f>
              <c:strCache>
                <c:ptCount val="1"/>
                <c:pt idx="0">
                  <c:v>2016</c:v>
                </c:pt>
              </c:strCache>
            </c:strRef>
          </c:tx>
          <c:spPr>
            <a:solidFill>
              <a:schemeClr val="tx1">
                <a:lumMod val="50000"/>
                <a:lumOff val="50000"/>
              </a:schemeClr>
            </a:solidFill>
          </c:spPr>
          <c:invertIfNegative val="0"/>
          <c:cat>
            <c:strRef>
              <c:f>'Sachgüterproduktion je EW'!$K$6:$L$15</c:f>
              <c:strCache>
                <c:ptCount val="10"/>
                <c:pt idx="0">
                  <c:v>Wien </c:v>
                </c:pt>
                <c:pt idx="1">
                  <c:v>Burgenland</c:v>
                </c:pt>
                <c:pt idx="2">
                  <c:v>Tirol</c:v>
                </c:pt>
                <c:pt idx="3">
                  <c:v>Niederösterreich</c:v>
                </c:pt>
                <c:pt idx="4">
                  <c:v>Kärnten </c:v>
                </c:pt>
                <c:pt idx="5">
                  <c:v>Steiermark</c:v>
                </c:pt>
                <c:pt idx="6">
                  <c:v>Salzburg</c:v>
                </c:pt>
                <c:pt idx="7">
                  <c:v>Vorarlberg</c:v>
                </c:pt>
                <c:pt idx="8">
                  <c:v>Oberösterreich</c:v>
                </c:pt>
                <c:pt idx="9">
                  <c:v>Österreich</c:v>
                </c:pt>
              </c:strCache>
            </c:strRef>
          </c:cat>
          <c:val>
            <c:numRef>
              <c:f>'Sachgüterproduktion je EW'!$O$6:$O$15</c:f>
              <c:numCache>
                <c:formatCode>#,##0</c:formatCode>
                <c:ptCount val="10"/>
                <c:pt idx="0">
                  <c:v>10164</c:v>
                </c:pt>
                <c:pt idx="1">
                  <c:v>15833</c:v>
                </c:pt>
                <c:pt idx="2">
                  <c:v>19802</c:v>
                </c:pt>
                <c:pt idx="3">
                  <c:v>21242</c:v>
                </c:pt>
                <c:pt idx="4">
                  <c:v>19385</c:v>
                </c:pt>
                <c:pt idx="5">
                  <c:v>25574</c:v>
                </c:pt>
                <c:pt idx="6">
                  <c:v>24215</c:v>
                </c:pt>
                <c:pt idx="7">
                  <c:v>30956</c:v>
                </c:pt>
                <c:pt idx="8">
                  <c:v>36912</c:v>
                </c:pt>
                <c:pt idx="9">
                  <c:v>22318</c:v>
                </c:pt>
              </c:numCache>
            </c:numRef>
          </c:val>
          <c:extLst xmlns:c15="http://schemas.microsoft.com/office/drawing/2012/chart">
            <c:ext xmlns:c16="http://schemas.microsoft.com/office/drawing/2014/chart" uri="{C3380CC4-5D6E-409C-BE32-E72D297353CC}">
              <c16:uniqueId val="{00000002-5732-4238-AD61-29CDBCF0D831}"/>
            </c:ext>
          </c:extLst>
        </c:ser>
        <c:ser>
          <c:idx val="3"/>
          <c:order val="3"/>
          <c:tx>
            <c:strRef>
              <c:f>'Sachgüterproduktion je EW'!$P$5</c:f>
              <c:strCache>
                <c:ptCount val="1"/>
                <c:pt idx="0">
                  <c:v>2020</c:v>
                </c:pt>
              </c:strCache>
            </c:strRef>
          </c:tx>
          <c:spPr>
            <a:solidFill>
              <a:schemeClr val="tx1">
                <a:lumMod val="75000"/>
                <a:lumOff val="25000"/>
              </a:schemeClr>
            </a:solidFill>
          </c:spPr>
          <c:invertIfNegative val="0"/>
          <c:cat>
            <c:strRef>
              <c:f>'Sachgüterproduktion je EW'!$K$6:$L$15</c:f>
              <c:strCache>
                <c:ptCount val="10"/>
                <c:pt idx="0">
                  <c:v>Wien </c:v>
                </c:pt>
                <c:pt idx="1">
                  <c:v>Burgenland</c:v>
                </c:pt>
                <c:pt idx="2">
                  <c:v>Tirol</c:v>
                </c:pt>
                <c:pt idx="3">
                  <c:v>Niederösterreich</c:v>
                </c:pt>
                <c:pt idx="4">
                  <c:v>Kärnten </c:v>
                </c:pt>
                <c:pt idx="5">
                  <c:v>Steiermark</c:v>
                </c:pt>
                <c:pt idx="6">
                  <c:v>Salzburg</c:v>
                </c:pt>
                <c:pt idx="7">
                  <c:v>Vorarlberg</c:v>
                </c:pt>
                <c:pt idx="8">
                  <c:v>Oberösterreich</c:v>
                </c:pt>
                <c:pt idx="9">
                  <c:v>Österreich</c:v>
                </c:pt>
              </c:strCache>
            </c:strRef>
          </c:cat>
          <c:val>
            <c:numRef>
              <c:f>'Sachgüterproduktion je EW'!$P$6:$P$15</c:f>
              <c:numCache>
                <c:formatCode>#,##0</c:formatCode>
                <c:ptCount val="10"/>
                <c:pt idx="0">
                  <c:v>11031</c:v>
                </c:pt>
                <c:pt idx="1">
                  <c:v>16215</c:v>
                </c:pt>
                <c:pt idx="2">
                  <c:v>22075</c:v>
                </c:pt>
                <c:pt idx="3">
                  <c:v>21714</c:v>
                </c:pt>
                <c:pt idx="4">
                  <c:v>22279</c:v>
                </c:pt>
                <c:pt idx="5">
                  <c:v>28282</c:v>
                </c:pt>
                <c:pt idx="6">
                  <c:v>26178</c:v>
                </c:pt>
                <c:pt idx="7">
                  <c:v>31056</c:v>
                </c:pt>
                <c:pt idx="8">
                  <c:v>38181</c:v>
                </c:pt>
                <c:pt idx="9">
                  <c:v>23678</c:v>
                </c:pt>
              </c:numCache>
            </c:numRef>
          </c:val>
          <c:extLst>
            <c:ext xmlns:c16="http://schemas.microsoft.com/office/drawing/2014/chart" uri="{C3380CC4-5D6E-409C-BE32-E72D297353CC}">
              <c16:uniqueId val="{00000003-5732-4238-AD61-29CDBCF0D831}"/>
            </c:ext>
          </c:extLst>
        </c:ser>
        <c:ser>
          <c:idx val="4"/>
          <c:order val="4"/>
          <c:tx>
            <c:strRef>
              <c:f>'Sachgüterproduktion je EW'!$Q$5</c:f>
              <c:strCache>
                <c:ptCount val="1"/>
                <c:pt idx="0">
                  <c:v>2021</c:v>
                </c:pt>
              </c:strCache>
            </c:strRef>
          </c:tx>
          <c:spPr>
            <a:solidFill>
              <a:schemeClr val="tx1">
                <a:lumMod val="95000"/>
                <a:lumOff val="5000"/>
              </a:schemeClr>
            </a:solidFill>
          </c:spPr>
          <c:invertIfNegative val="0"/>
          <c:cat>
            <c:strRef>
              <c:f>'Sachgüterproduktion je EW'!$K$6:$L$15</c:f>
              <c:strCache>
                <c:ptCount val="10"/>
                <c:pt idx="0">
                  <c:v>Wien </c:v>
                </c:pt>
                <c:pt idx="1">
                  <c:v>Burgenland</c:v>
                </c:pt>
                <c:pt idx="2">
                  <c:v>Tirol</c:v>
                </c:pt>
                <c:pt idx="3">
                  <c:v>Niederösterreich</c:v>
                </c:pt>
                <c:pt idx="4">
                  <c:v>Kärnten </c:v>
                </c:pt>
                <c:pt idx="5">
                  <c:v>Steiermark</c:v>
                </c:pt>
                <c:pt idx="6">
                  <c:v>Salzburg</c:v>
                </c:pt>
                <c:pt idx="7">
                  <c:v>Vorarlberg</c:v>
                </c:pt>
                <c:pt idx="8">
                  <c:v>Oberösterreich</c:v>
                </c:pt>
                <c:pt idx="9">
                  <c:v>Österreich</c:v>
                </c:pt>
              </c:strCache>
            </c:strRef>
          </c:cat>
          <c:val>
            <c:numRef>
              <c:f>'Sachgüterproduktion je EW'!$Q$6:$Q$15</c:f>
              <c:numCache>
                <c:formatCode>#,##0</c:formatCode>
                <c:ptCount val="10"/>
                <c:pt idx="0">
                  <c:v>12598</c:v>
                </c:pt>
                <c:pt idx="1">
                  <c:v>17526</c:v>
                </c:pt>
                <c:pt idx="2">
                  <c:v>25093</c:v>
                </c:pt>
                <c:pt idx="3">
                  <c:v>25914</c:v>
                </c:pt>
                <c:pt idx="4">
                  <c:v>26780</c:v>
                </c:pt>
                <c:pt idx="5">
                  <c:v>33017</c:v>
                </c:pt>
                <c:pt idx="6">
                  <c:v>30874</c:v>
                </c:pt>
                <c:pt idx="7">
                  <c:v>36450</c:v>
                </c:pt>
                <c:pt idx="8">
                  <c:v>44853</c:v>
                </c:pt>
                <c:pt idx="9">
                  <c:v>27702</c:v>
                </c:pt>
              </c:numCache>
            </c:numRef>
          </c:val>
          <c:extLst>
            <c:ext xmlns:c16="http://schemas.microsoft.com/office/drawing/2014/chart" uri="{C3380CC4-5D6E-409C-BE32-E72D297353CC}">
              <c16:uniqueId val="{00000004-5732-4238-AD61-29CDBCF0D831}"/>
            </c:ext>
          </c:extLst>
        </c:ser>
        <c:ser>
          <c:idx val="5"/>
          <c:order val="5"/>
          <c:tx>
            <c:strRef>
              <c:f>'Sachgüterproduktion je EW'!$R$5</c:f>
              <c:strCache>
                <c:ptCount val="1"/>
                <c:pt idx="0">
                  <c:v>2022</c:v>
                </c:pt>
              </c:strCache>
            </c:strRef>
          </c:tx>
          <c:spPr>
            <a:solidFill>
              <a:schemeClr val="tx1">
                <a:lumMod val="95000"/>
                <a:lumOff val="5000"/>
              </a:schemeClr>
            </a:solidFill>
          </c:spPr>
          <c:invertIfNegative val="0"/>
          <c:cat>
            <c:strRef>
              <c:f>'Sachgüterproduktion je EW'!$K$6:$L$15</c:f>
              <c:strCache>
                <c:ptCount val="10"/>
                <c:pt idx="0">
                  <c:v>Wien </c:v>
                </c:pt>
                <c:pt idx="1">
                  <c:v>Burgenland</c:v>
                </c:pt>
                <c:pt idx="2">
                  <c:v>Tirol</c:v>
                </c:pt>
                <c:pt idx="3">
                  <c:v>Niederösterreich</c:v>
                </c:pt>
                <c:pt idx="4">
                  <c:v>Kärnten </c:v>
                </c:pt>
                <c:pt idx="5">
                  <c:v>Steiermark</c:v>
                </c:pt>
                <c:pt idx="6">
                  <c:v>Salzburg</c:v>
                </c:pt>
                <c:pt idx="7">
                  <c:v>Vorarlberg</c:v>
                </c:pt>
                <c:pt idx="8">
                  <c:v>Oberösterreich</c:v>
                </c:pt>
                <c:pt idx="9">
                  <c:v>Österreich</c:v>
                </c:pt>
              </c:strCache>
            </c:strRef>
          </c:cat>
          <c:val>
            <c:numRef>
              <c:f>'Sachgüterproduktion je EW'!$R$6:$R$15</c:f>
              <c:numCache>
                <c:formatCode>#,##0</c:formatCode>
                <c:ptCount val="10"/>
                <c:pt idx="0">
                  <c:v>13449</c:v>
                </c:pt>
                <c:pt idx="1">
                  <c:v>20359</c:v>
                </c:pt>
                <c:pt idx="2">
                  <c:v>27897</c:v>
                </c:pt>
                <c:pt idx="3">
                  <c:v>30571</c:v>
                </c:pt>
                <c:pt idx="4">
                  <c:v>31647</c:v>
                </c:pt>
                <c:pt idx="5">
                  <c:v>36987</c:v>
                </c:pt>
                <c:pt idx="6">
                  <c:v>37319</c:v>
                </c:pt>
                <c:pt idx="7">
                  <c:v>40816</c:v>
                </c:pt>
                <c:pt idx="8">
                  <c:v>52045</c:v>
                </c:pt>
                <c:pt idx="9">
                  <c:v>31730</c:v>
                </c:pt>
              </c:numCache>
            </c:numRef>
          </c:val>
          <c:extLst>
            <c:ext xmlns:c16="http://schemas.microsoft.com/office/drawing/2014/chart" uri="{C3380CC4-5D6E-409C-BE32-E72D297353CC}">
              <c16:uniqueId val="{00000000-0AFB-4DA3-8C59-9043EF476563}"/>
            </c:ext>
          </c:extLst>
        </c:ser>
        <c:ser>
          <c:idx val="6"/>
          <c:order val="6"/>
          <c:tx>
            <c:strRef>
              <c:f>'Sachgüterproduktion je EW'!$S$5</c:f>
              <c:strCache>
                <c:ptCount val="1"/>
                <c:pt idx="0">
                  <c:v>2023</c:v>
                </c:pt>
              </c:strCache>
            </c:strRef>
          </c:tx>
          <c:spPr>
            <a:solidFill>
              <a:srgbClr val="FF0000"/>
            </a:solidFill>
          </c:spPr>
          <c:invertIfNegative val="0"/>
          <c:cat>
            <c:strRef>
              <c:f>'Sachgüterproduktion je EW'!$K$6:$L$15</c:f>
              <c:strCache>
                <c:ptCount val="10"/>
                <c:pt idx="0">
                  <c:v>Wien </c:v>
                </c:pt>
                <c:pt idx="1">
                  <c:v>Burgenland</c:v>
                </c:pt>
                <c:pt idx="2">
                  <c:v>Tirol</c:v>
                </c:pt>
                <c:pt idx="3">
                  <c:v>Niederösterreich</c:v>
                </c:pt>
                <c:pt idx="4">
                  <c:v>Kärnten </c:v>
                </c:pt>
                <c:pt idx="5">
                  <c:v>Steiermark</c:v>
                </c:pt>
                <c:pt idx="6">
                  <c:v>Salzburg</c:v>
                </c:pt>
                <c:pt idx="7">
                  <c:v>Vorarlberg</c:v>
                </c:pt>
                <c:pt idx="8">
                  <c:v>Oberösterreich</c:v>
                </c:pt>
                <c:pt idx="9">
                  <c:v>Österreich</c:v>
                </c:pt>
              </c:strCache>
            </c:strRef>
          </c:cat>
          <c:val>
            <c:numRef>
              <c:f>'Sachgüterproduktion je EW'!$S$6:$S$15</c:f>
              <c:numCache>
                <c:formatCode>#,##0</c:formatCode>
                <c:ptCount val="10"/>
                <c:pt idx="0">
                  <c:v>12823</c:v>
                </c:pt>
                <c:pt idx="1">
                  <c:v>21271</c:v>
                </c:pt>
                <c:pt idx="2">
                  <c:v>27651</c:v>
                </c:pt>
                <c:pt idx="3">
                  <c:v>29632</c:v>
                </c:pt>
                <c:pt idx="4">
                  <c:v>31149</c:v>
                </c:pt>
                <c:pt idx="5">
                  <c:v>36308</c:v>
                </c:pt>
                <c:pt idx="6">
                  <c:v>38131</c:v>
                </c:pt>
                <c:pt idx="7">
                  <c:v>38942</c:v>
                </c:pt>
                <c:pt idx="8">
                  <c:v>50348</c:v>
                </c:pt>
                <c:pt idx="9">
                  <c:v>30951</c:v>
                </c:pt>
              </c:numCache>
            </c:numRef>
          </c:val>
          <c:extLst>
            <c:ext xmlns:c16="http://schemas.microsoft.com/office/drawing/2014/chart" uri="{C3380CC4-5D6E-409C-BE32-E72D297353CC}">
              <c16:uniqueId val="{00000000-E0A2-4436-AA10-74D32393116D}"/>
            </c:ext>
          </c:extLst>
        </c:ser>
        <c:dLbls>
          <c:showLegendKey val="0"/>
          <c:showVal val="0"/>
          <c:showCatName val="0"/>
          <c:showSerName val="0"/>
          <c:showPercent val="0"/>
          <c:showBubbleSize val="0"/>
        </c:dLbls>
        <c:gapWidth val="150"/>
        <c:axId val="119758208"/>
        <c:axId val="119772288"/>
        <c:extLst/>
      </c:barChart>
      <c:catAx>
        <c:axId val="119758208"/>
        <c:scaling>
          <c:orientation val="minMax"/>
        </c:scaling>
        <c:delete val="0"/>
        <c:axPos val="l"/>
        <c:numFmt formatCode="General" sourceLinked="0"/>
        <c:majorTickMark val="out"/>
        <c:minorTickMark val="none"/>
        <c:tickLblPos val="nextTo"/>
        <c:crossAx val="119772288"/>
        <c:crosses val="autoZero"/>
        <c:auto val="1"/>
        <c:lblAlgn val="ctr"/>
        <c:lblOffset val="100"/>
        <c:noMultiLvlLbl val="0"/>
      </c:catAx>
      <c:valAx>
        <c:axId val="119772288"/>
        <c:scaling>
          <c:orientation val="minMax"/>
        </c:scaling>
        <c:delete val="0"/>
        <c:axPos val="b"/>
        <c:majorGridlines/>
        <c:numFmt formatCode="#,##0" sourceLinked="1"/>
        <c:majorTickMark val="out"/>
        <c:minorTickMark val="none"/>
        <c:tickLblPos val="nextTo"/>
        <c:crossAx val="11975820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 Industrieproduktion'!$J$14</c:f>
              <c:strCache>
                <c:ptCount val="1"/>
                <c:pt idx="0">
                  <c:v>2013</c:v>
                </c:pt>
              </c:strCache>
            </c:strRef>
          </c:tx>
          <c:spPr>
            <a:solidFill>
              <a:schemeClr val="bg1">
                <a:lumMod val="85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Industrieproduktion'!$K$14:$O$14</c:f>
              <c:numCache>
                <c:formatCode>0.0%</c:formatCode>
                <c:ptCount val="5"/>
                <c:pt idx="0">
                  <c:v>8.1000000000000003E-2</c:v>
                </c:pt>
                <c:pt idx="1">
                  <c:v>0.47</c:v>
                </c:pt>
                <c:pt idx="2">
                  <c:v>0.13800000000000001</c:v>
                </c:pt>
                <c:pt idx="3">
                  <c:v>0.13500000000000001</c:v>
                </c:pt>
                <c:pt idx="4">
                  <c:v>0.113</c:v>
                </c:pt>
              </c:numCache>
            </c:numRef>
          </c:val>
          <c:extLst>
            <c:ext xmlns:c16="http://schemas.microsoft.com/office/drawing/2014/chart" uri="{C3380CC4-5D6E-409C-BE32-E72D297353CC}">
              <c16:uniqueId val="{00000001-7B59-432A-873A-4F65D3802170}"/>
            </c:ext>
          </c:extLst>
        </c:ser>
        <c:ser>
          <c:idx val="2"/>
          <c:order val="2"/>
          <c:tx>
            <c:strRef>
              <c:f>' Industrieproduktion'!$J$15</c:f>
              <c:strCache>
                <c:ptCount val="1"/>
                <c:pt idx="0">
                  <c:v>2014</c:v>
                </c:pt>
              </c:strCache>
            </c:strRef>
          </c:tx>
          <c:spPr>
            <a:solidFill>
              <a:schemeClr val="bg1">
                <a:lumMod val="75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Industrieproduktion'!$K$15:$O$15</c:f>
              <c:numCache>
                <c:formatCode>0.0%</c:formatCode>
                <c:ptCount val="5"/>
                <c:pt idx="0">
                  <c:v>7.8E-2</c:v>
                </c:pt>
                <c:pt idx="1">
                  <c:v>0.51100000000000001</c:v>
                </c:pt>
                <c:pt idx="2">
                  <c:v>0.14799999999999999</c:v>
                </c:pt>
                <c:pt idx="3">
                  <c:v>0.121</c:v>
                </c:pt>
                <c:pt idx="4">
                  <c:v>9.7000000000000003E-2</c:v>
                </c:pt>
              </c:numCache>
            </c:numRef>
          </c:val>
          <c:extLst xmlns:c15="http://schemas.microsoft.com/office/drawing/2012/chart">
            <c:ext xmlns:c16="http://schemas.microsoft.com/office/drawing/2014/chart" uri="{C3380CC4-5D6E-409C-BE32-E72D297353CC}">
              <c16:uniqueId val="{00000002-7B59-432A-873A-4F65D3802170}"/>
            </c:ext>
          </c:extLst>
        </c:ser>
        <c:ser>
          <c:idx val="3"/>
          <c:order val="3"/>
          <c:tx>
            <c:strRef>
              <c:f>' Industrieproduktion'!$J$16</c:f>
              <c:strCache>
                <c:ptCount val="1"/>
                <c:pt idx="0">
                  <c:v>2015</c:v>
                </c:pt>
              </c:strCache>
            </c:strRef>
          </c:tx>
          <c:spPr>
            <a:solidFill>
              <a:schemeClr val="bg1">
                <a:lumMod val="65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Industrieproduktion'!$K$16:$O$16</c:f>
              <c:numCache>
                <c:formatCode>0.0%</c:formatCode>
                <c:ptCount val="5"/>
                <c:pt idx="0">
                  <c:v>7.8E-2</c:v>
                </c:pt>
                <c:pt idx="1">
                  <c:v>0.47599999999999998</c:v>
                </c:pt>
                <c:pt idx="2">
                  <c:v>0.17100000000000001</c:v>
                </c:pt>
                <c:pt idx="3">
                  <c:v>0.121</c:v>
                </c:pt>
                <c:pt idx="4">
                  <c:v>0.105</c:v>
                </c:pt>
              </c:numCache>
            </c:numRef>
          </c:val>
          <c:extLst>
            <c:ext xmlns:c16="http://schemas.microsoft.com/office/drawing/2014/chart" uri="{C3380CC4-5D6E-409C-BE32-E72D297353CC}">
              <c16:uniqueId val="{00000003-7B59-432A-873A-4F65D3802170}"/>
            </c:ext>
          </c:extLst>
        </c:ser>
        <c:ser>
          <c:idx val="4"/>
          <c:order val="4"/>
          <c:tx>
            <c:strRef>
              <c:f>' Industrieproduktion'!$J$17</c:f>
              <c:strCache>
                <c:ptCount val="1"/>
                <c:pt idx="0">
                  <c:v>2016</c:v>
                </c:pt>
              </c:strCache>
            </c:strRef>
          </c:tx>
          <c:spPr>
            <a:solidFill>
              <a:schemeClr val="bg1">
                <a:lumMod val="50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Industrieproduktion'!$K$17:$O$17</c:f>
              <c:numCache>
                <c:formatCode>0.0%</c:formatCode>
                <c:ptCount val="5"/>
                <c:pt idx="0">
                  <c:v>7.4999999999999997E-2</c:v>
                </c:pt>
                <c:pt idx="1">
                  <c:v>0.45500000000000002</c:v>
                </c:pt>
                <c:pt idx="2">
                  <c:v>0.16800000000000001</c:v>
                </c:pt>
                <c:pt idx="3">
                  <c:v>0.11699999999999999</c:v>
                </c:pt>
                <c:pt idx="4">
                  <c:v>0.10800000000000001</c:v>
                </c:pt>
              </c:numCache>
            </c:numRef>
          </c:val>
          <c:extLst xmlns:c15="http://schemas.microsoft.com/office/drawing/2012/chart">
            <c:ext xmlns:c16="http://schemas.microsoft.com/office/drawing/2014/chart" uri="{C3380CC4-5D6E-409C-BE32-E72D297353CC}">
              <c16:uniqueId val="{00000004-7B59-432A-873A-4F65D3802170}"/>
            </c:ext>
          </c:extLst>
        </c:ser>
        <c:ser>
          <c:idx val="5"/>
          <c:order val="5"/>
          <c:tx>
            <c:strRef>
              <c:f>' Industrieproduktion'!$J$18</c:f>
              <c:strCache>
                <c:ptCount val="1"/>
                <c:pt idx="0">
                  <c:v>2017</c:v>
                </c:pt>
              </c:strCache>
            </c:strRef>
          </c:tx>
          <c:spPr>
            <a:solidFill>
              <a:schemeClr val="tx1">
                <a:lumMod val="50000"/>
                <a:lumOff val="50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Industrieproduktion'!$K$18:$O$18</c:f>
              <c:numCache>
                <c:formatCode>0.0%</c:formatCode>
                <c:ptCount val="5"/>
                <c:pt idx="0">
                  <c:v>7.8E-2</c:v>
                </c:pt>
                <c:pt idx="1">
                  <c:v>0.63500000000000001</c:v>
                </c:pt>
                <c:pt idx="2">
                  <c:v>0.16699999999999998</c:v>
                </c:pt>
                <c:pt idx="3">
                  <c:v>0.12300000000000001</c:v>
                </c:pt>
                <c:pt idx="4">
                  <c:v>0.11599999999999999</c:v>
                </c:pt>
              </c:numCache>
            </c:numRef>
          </c:val>
          <c:extLst>
            <c:ext xmlns:c16="http://schemas.microsoft.com/office/drawing/2014/chart" uri="{C3380CC4-5D6E-409C-BE32-E72D297353CC}">
              <c16:uniqueId val="{00000005-7B59-432A-873A-4F65D3802170}"/>
            </c:ext>
          </c:extLst>
        </c:ser>
        <c:ser>
          <c:idx val="6"/>
          <c:order val="6"/>
          <c:tx>
            <c:strRef>
              <c:f>' Industrieproduktion'!$J$19</c:f>
              <c:strCache>
                <c:ptCount val="1"/>
                <c:pt idx="0">
                  <c:v>2018</c:v>
                </c:pt>
              </c:strCache>
            </c:strRef>
          </c:tx>
          <c:spPr>
            <a:solidFill>
              <a:schemeClr val="tx1">
                <a:lumMod val="65000"/>
                <a:lumOff val="35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Industrieproduktion'!$K$19:$O$19</c:f>
              <c:numCache>
                <c:formatCode>0.0%</c:formatCode>
                <c:ptCount val="5"/>
                <c:pt idx="0">
                  <c:v>8.1000000000000003E-2</c:v>
                </c:pt>
                <c:pt idx="1">
                  <c:v>0.61399999999999999</c:v>
                </c:pt>
                <c:pt idx="2">
                  <c:v>0.16</c:v>
                </c:pt>
                <c:pt idx="3">
                  <c:v>0.13100000000000001</c:v>
                </c:pt>
                <c:pt idx="4">
                  <c:v>0.124</c:v>
                </c:pt>
              </c:numCache>
            </c:numRef>
          </c:val>
          <c:extLst xmlns:c15="http://schemas.microsoft.com/office/drawing/2012/chart">
            <c:ext xmlns:c16="http://schemas.microsoft.com/office/drawing/2014/chart" uri="{C3380CC4-5D6E-409C-BE32-E72D297353CC}">
              <c16:uniqueId val="{00000006-7B59-432A-873A-4F65D3802170}"/>
            </c:ext>
          </c:extLst>
        </c:ser>
        <c:ser>
          <c:idx val="7"/>
          <c:order val="7"/>
          <c:tx>
            <c:strRef>
              <c:f>' Industrieproduktion'!$J$20</c:f>
              <c:strCache>
                <c:ptCount val="1"/>
                <c:pt idx="0">
                  <c:v>2019</c:v>
                </c:pt>
              </c:strCache>
            </c:strRef>
          </c:tx>
          <c:spPr>
            <a:solidFill>
              <a:schemeClr val="tx1">
                <a:lumMod val="65000"/>
                <a:lumOff val="35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Industrieproduktion'!$K$20:$O$20</c:f>
              <c:numCache>
                <c:formatCode>0.0%</c:formatCode>
                <c:ptCount val="5"/>
                <c:pt idx="0">
                  <c:v>7.5999999999999998E-2</c:v>
                </c:pt>
                <c:pt idx="1">
                  <c:v>0.63100000000000001</c:v>
                </c:pt>
                <c:pt idx="2">
                  <c:v>0.158</c:v>
                </c:pt>
                <c:pt idx="3">
                  <c:v>0.12300000000000001</c:v>
                </c:pt>
                <c:pt idx="4">
                  <c:v>0.123</c:v>
                </c:pt>
              </c:numCache>
            </c:numRef>
          </c:val>
          <c:extLst>
            <c:ext xmlns:c16="http://schemas.microsoft.com/office/drawing/2014/chart" uri="{C3380CC4-5D6E-409C-BE32-E72D297353CC}">
              <c16:uniqueId val="{00000000-B564-49A8-BF2B-5A23E11F8474}"/>
            </c:ext>
          </c:extLst>
        </c:ser>
        <c:ser>
          <c:idx val="8"/>
          <c:order val="8"/>
          <c:tx>
            <c:strRef>
              <c:f>' Industrieproduktion'!$J$21</c:f>
              <c:strCache>
                <c:ptCount val="1"/>
                <c:pt idx="0">
                  <c:v>2020</c:v>
                </c:pt>
              </c:strCache>
            </c:strRef>
          </c:tx>
          <c:spPr>
            <a:solidFill>
              <a:schemeClr val="tx1">
                <a:lumMod val="75000"/>
                <a:lumOff val="25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Industrieproduktion'!$K$21:$O$21</c:f>
              <c:numCache>
                <c:formatCode>0.0%</c:formatCode>
                <c:ptCount val="5"/>
                <c:pt idx="0">
                  <c:v>7.6999999999999999E-2</c:v>
                </c:pt>
                <c:pt idx="1">
                  <c:v>0.61699999999999999</c:v>
                </c:pt>
                <c:pt idx="2">
                  <c:v>0.156</c:v>
                </c:pt>
                <c:pt idx="3">
                  <c:v>0.13100000000000001</c:v>
                </c:pt>
                <c:pt idx="4">
                  <c:v>0.13</c:v>
                </c:pt>
              </c:numCache>
            </c:numRef>
          </c:val>
          <c:extLst>
            <c:ext xmlns:c16="http://schemas.microsoft.com/office/drawing/2014/chart" uri="{C3380CC4-5D6E-409C-BE32-E72D297353CC}">
              <c16:uniqueId val="{00000000-326B-4BC5-9B3B-630B2648CDF9}"/>
            </c:ext>
          </c:extLst>
        </c:ser>
        <c:ser>
          <c:idx val="9"/>
          <c:order val="9"/>
          <c:tx>
            <c:strRef>
              <c:f>' Industrieproduktion'!$J$22</c:f>
              <c:strCache>
                <c:ptCount val="1"/>
                <c:pt idx="0">
                  <c:v>2021</c:v>
                </c:pt>
              </c:strCache>
            </c:strRef>
          </c:tx>
          <c:spPr>
            <a:solidFill>
              <a:schemeClr val="tx1">
                <a:lumMod val="85000"/>
                <a:lumOff val="15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Industrieproduktion'!$K$22:$O$22</c:f>
              <c:numCache>
                <c:formatCode>0.0%</c:formatCode>
                <c:ptCount val="5"/>
                <c:pt idx="0">
                  <c:v>7.5999999999999998E-2</c:v>
                </c:pt>
                <c:pt idx="1">
                  <c:v>0.627</c:v>
                </c:pt>
                <c:pt idx="2">
                  <c:v>0.14899999999999999</c:v>
                </c:pt>
                <c:pt idx="3">
                  <c:v>0.11599999999999999</c:v>
                </c:pt>
                <c:pt idx="4">
                  <c:v>0.13600000000000001</c:v>
                </c:pt>
              </c:numCache>
            </c:numRef>
          </c:val>
          <c:extLst>
            <c:ext xmlns:c16="http://schemas.microsoft.com/office/drawing/2014/chart" uri="{C3380CC4-5D6E-409C-BE32-E72D297353CC}">
              <c16:uniqueId val="{00000001-8C22-4B28-B1F3-0BB8A496AA6F}"/>
            </c:ext>
          </c:extLst>
        </c:ser>
        <c:ser>
          <c:idx val="10"/>
          <c:order val="10"/>
          <c:tx>
            <c:strRef>
              <c:f>' Industrieproduktion'!$J$23</c:f>
              <c:strCache>
                <c:ptCount val="1"/>
                <c:pt idx="0">
                  <c:v>2022</c:v>
                </c:pt>
              </c:strCache>
            </c:strRef>
          </c:tx>
          <c:spPr>
            <a:solidFill>
              <a:schemeClr val="tx1">
                <a:lumMod val="95000"/>
                <a:lumOff val="5000"/>
              </a:schemeClr>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Industrieproduktion'!$K$23:$O$23</c:f>
              <c:numCache>
                <c:formatCode>0.0%</c:formatCode>
                <c:ptCount val="5"/>
                <c:pt idx="0">
                  <c:v>7.5999999999999998E-2</c:v>
                </c:pt>
                <c:pt idx="1">
                  <c:v>0.59399999999999997</c:v>
                </c:pt>
                <c:pt idx="2">
                  <c:v>0.14899999999999999</c:v>
                </c:pt>
                <c:pt idx="3">
                  <c:v>0.12300000000000001</c:v>
                </c:pt>
                <c:pt idx="4">
                  <c:v>0.155</c:v>
                </c:pt>
              </c:numCache>
            </c:numRef>
          </c:val>
          <c:extLst>
            <c:ext xmlns:c16="http://schemas.microsoft.com/office/drawing/2014/chart" uri="{C3380CC4-5D6E-409C-BE32-E72D297353CC}">
              <c16:uniqueId val="{00000001-9AB0-4BDA-B41D-85E488CEDAF9}"/>
            </c:ext>
          </c:extLst>
        </c:ser>
        <c:ser>
          <c:idx val="11"/>
          <c:order val="11"/>
          <c:tx>
            <c:strRef>
              <c:f>' Industrieproduktion'!$J$24</c:f>
              <c:strCache>
                <c:ptCount val="1"/>
                <c:pt idx="0">
                  <c:v>2023</c:v>
                </c:pt>
              </c:strCache>
            </c:strRef>
          </c:tx>
          <c:spPr>
            <a:solidFill>
              <a:srgbClr val="FF0000"/>
            </a:solidFill>
          </c:spPr>
          <c:invertIfNegative val="0"/>
          <c:cat>
            <c:strRef>
              <c:f>' Industrieproduktion'!$K$11:$O$11</c:f>
              <c:strCache>
                <c:ptCount val="5"/>
                <c:pt idx="0">
                  <c:v>Textil, Bekleidung</c:v>
                </c:pt>
                <c:pt idx="1">
                  <c:v>Ma, Metallw.</c:v>
                </c:pt>
                <c:pt idx="2">
                  <c:v>Elektro</c:v>
                </c:pt>
                <c:pt idx="3">
                  <c:v>Nahrunsgmittel</c:v>
                </c:pt>
                <c:pt idx="4">
                  <c:v>Chemie,Holz,Papier</c:v>
                </c:pt>
              </c:strCache>
            </c:strRef>
          </c:cat>
          <c:val>
            <c:numRef>
              <c:f>' Industrieproduktion'!$K$24:$O$24</c:f>
              <c:numCache>
                <c:formatCode>0.0%</c:formatCode>
                <c:ptCount val="5"/>
                <c:pt idx="0">
                  <c:v>7.9000000000000001E-2</c:v>
                </c:pt>
                <c:pt idx="1">
                  <c:v>0.59399999999999997</c:v>
                </c:pt>
                <c:pt idx="2">
                  <c:v>0.16600000000000001</c:v>
                </c:pt>
                <c:pt idx="3">
                  <c:v>0.13699999999999998</c:v>
                </c:pt>
                <c:pt idx="4">
                  <c:v>0.14899999999999999</c:v>
                </c:pt>
              </c:numCache>
            </c:numRef>
          </c:val>
          <c:extLst>
            <c:ext xmlns:c16="http://schemas.microsoft.com/office/drawing/2014/chart" uri="{C3380CC4-5D6E-409C-BE32-E72D297353CC}">
              <c16:uniqueId val="{00000000-1244-4918-8B6D-F532FCB14C66}"/>
            </c:ext>
          </c:extLst>
        </c:ser>
        <c:dLbls>
          <c:showLegendKey val="0"/>
          <c:showVal val="0"/>
          <c:showCatName val="0"/>
          <c:showSerName val="0"/>
          <c:showPercent val="0"/>
          <c:showBubbleSize val="0"/>
        </c:dLbls>
        <c:gapWidth val="150"/>
        <c:axId val="119927552"/>
        <c:axId val="119929088"/>
        <c:extLst>
          <c:ext xmlns:c15="http://schemas.microsoft.com/office/drawing/2012/chart" uri="{02D57815-91ED-43cb-92C2-25804820EDAC}">
            <c15:filteredBarSeries>
              <c15:ser>
                <c:idx val="0"/>
                <c:order val="0"/>
                <c:tx>
                  <c:strRef>
                    <c:extLst>
                      <c:ext uri="{02D57815-91ED-43cb-92C2-25804820EDAC}">
                        <c15:formulaRef>
                          <c15:sqref>' Industrieproduktion'!$J$13</c15:sqref>
                        </c15:formulaRef>
                      </c:ext>
                    </c:extLst>
                    <c:strCache>
                      <c:ptCount val="1"/>
                      <c:pt idx="0">
                        <c:v>2012</c:v>
                      </c:pt>
                    </c:strCache>
                  </c:strRef>
                </c:tx>
                <c:spPr>
                  <a:solidFill>
                    <a:schemeClr val="bg1">
                      <a:lumMod val="95000"/>
                    </a:schemeClr>
                  </a:solidFill>
                </c:spPr>
                <c:invertIfNegative val="0"/>
                <c:cat>
                  <c:strRef>
                    <c:extLst>
                      <c:ext uri="{02D57815-91ED-43cb-92C2-25804820EDAC}">
                        <c15:formulaRef>
                          <c15:sqref>' Industrieproduktion'!$K$11:$O$11</c15:sqref>
                        </c15:formulaRef>
                      </c:ext>
                    </c:extLst>
                    <c:strCache>
                      <c:ptCount val="5"/>
                      <c:pt idx="0">
                        <c:v>Textil, Bekleidung</c:v>
                      </c:pt>
                      <c:pt idx="1">
                        <c:v>Ma, Metallw.</c:v>
                      </c:pt>
                      <c:pt idx="2">
                        <c:v>Elektro</c:v>
                      </c:pt>
                      <c:pt idx="3">
                        <c:v>Nahrunsgmittel</c:v>
                      </c:pt>
                      <c:pt idx="4">
                        <c:v>Chemie,Holz,Papier</c:v>
                      </c:pt>
                    </c:strCache>
                  </c:strRef>
                </c:cat>
                <c:val>
                  <c:numRef>
                    <c:extLst>
                      <c:ext uri="{02D57815-91ED-43cb-92C2-25804820EDAC}">
                        <c15:formulaRef>
                          <c15:sqref>' Industrieproduktion'!$K$13:$O$13</c15:sqref>
                        </c15:formulaRef>
                      </c:ext>
                    </c:extLst>
                    <c:numCache>
                      <c:formatCode>0.0%</c:formatCode>
                      <c:ptCount val="5"/>
                      <c:pt idx="0">
                        <c:v>8.2000000000000003E-2</c:v>
                      </c:pt>
                      <c:pt idx="1">
                        <c:v>0.52300000000000002</c:v>
                      </c:pt>
                      <c:pt idx="2">
                        <c:v>0.13700000000000001</c:v>
                      </c:pt>
                      <c:pt idx="3">
                        <c:v>0.13200000000000001</c:v>
                      </c:pt>
                      <c:pt idx="4">
                        <c:v>0.115</c:v>
                      </c:pt>
                    </c:numCache>
                  </c:numRef>
                </c:val>
                <c:extLst>
                  <c:ext xmlns:c16="http://schemas.microsoft.com/office/drawing/2014/chart" uri="{C3380CC4-5D6E-409C-BE32-E72D297353CC}">
                    <c16:uniqueId val="{00000000-7B59-432A-873A-4F65D3802170}"/>
                  </c:ext>
                </c:extLst>
              </c15:ser>
            </c15:filteredBarSeries>
          </c:ext>
        </c:extLst>
      </c:barChart>
      <c:catAx>
        <c:axId val="119927552"/>
        <c:scaling>
          <c:orientation val="minMax"/>
        </c:scaling>
        <c:delete val="0"/>
        <c:axPos val="b"/>
        <c:numFmt formatCode="General" sourceLinked="0"/>
        <c:majorTickMark val="out"/>
        <c:minorTickMark val="none"/>
        <c:tickLblPos val="nextTo"/>
        <c:crossAx val="119929088"/>
        <c:crosses val="autoZero"/>
        <c:auto val="1"/>
        <c:lblAlgn val="ctr"/>
        <c:lblOffset val="100"/>
        <c:noMultiLvlLbl val="0"/>
      </c:catAx>
      <c:valAx>
        <c:axId val="119929088"/>
        <c:scaling>
          <c:orientation val="minMax"/>
        </c:scaling>
        <c:delete val="0"/>
        <c:axPos val="l"/>
        <c:majorGridlines/>
        <c:numFmt formatCode="0.0%" sourceLinked="1"/>
        <c:majorTickMark val="out"/>
        <c:minorTickMark val="none"/>
        <c:tickLblPos val="nextTo"/>
        <c:crossAx val="11992755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 Industrieproduktion'!$C$49</c:f>
              <c:strCache>
                <c:ptCount val="1"/>
                <c:pt idx="0">
                  <c:v>2013</c:v>
                </c:pt>
              </c:strCache>
            </c:strRef>
          </c:tx>
          <c:invertIfNegative val="0"/>
          <c:cat>
            <c:strRef>
              <c:extLst>
                <c:ext xmlns:c15="http://schemas.microsoft.com/office/drawing/2012/chart" uri="{02D57815-91ED-43cb-92C2-25804820EDAC}">
                  <c15:fullRef>
                    <c15:sqref>' Industrieproduktion'!$A$49:$B$60</c15:sqref>
                  </c15:fullRef>
                </c:ext>
              </c:extLst>
              <c:f>' Industrieproduktion'!$A$51:$B$60</c:f>
              <c:strCache>
                <c:ptCount val="10"/>
                <c:pt idx="0">
                  <c:v>Oberösterreich</c:v>
                </c:pt>
                <c:pt idx="1">
                  <c:v>Steiermark</c:v>
                </c:pt>
                <c:pt idx="2">
                  <c:v>Vorarlberg</c:v>
                </c:pt>
                <c:pt idx="3">
                  <c:v>Kärnten</c:v>
                </c:pt>
                <c:pt idx="4">
                  <c:v>Niederösterreich</c:v>
                </c:pt>
                <c:pt idx="5">
                  <c:v>Wien</c:v>
                </c:pt>
                <c:pt idx="6">
                  <c:v>Tirol</c:v>
                </c:pt>
                <c:pt idx="7">
                  <c:v>Salzburg</c:v>
                </c:pt>
                <c:pt idx="8">
                  <c:v>Burgenland</c:v>
                </c:pt>
                <c:pt idx="9">
                  <c:v>Österreich</c:v>
                </c:pt>
              </c:strCache>
            </c:strRef>
          </c:cat>
          <c:val>
            <c:numRef>
              <c:extLst>
                <c:ext xmlns:c15="http://schemas.microsoft.com/office/drawing/2012/chart" uri="{02D57815-91ED-43cb-92C2-25804820EDAC}">
                  <c15:fullRef>
                    <c15:sqref>' Industrieproduktion'!$C$49:$C$60</c15:sqref>
                  </c15:fullRef>
                </c:ext>
              </c:extLst>
              <c:f>' Industrieproduktion'!$C$51:$C$60</c:f>
              <c:numCache>
                <c:formatCode>General</c:formatCode>
                <c:ptCount val="10"/>
                <c:pt idx="0" formatCode="#,##0">
                  <c:v>25347</c:v>
                </c:pt>
                <c:pt idx="1" formatCode="#,##0">
                  <c:v>19371</c:v>
                </c:pt>
                <c:pt idx="2" formatCode="#,##0">
                  <c:v>18972</c:v>
                </c:pt>
                <c:pt idx="3" formatCode="#,##0">
                  <c:v>11590</c:v>
                </c:pt>
                <c:pt idx="4" formatCode="#,##0">
                  <c:v>18889</c:v>
                </c:pt>
                <c:pt idx="5" formatCode="#,##0">
                  <c:v>12350</c:v>
                </c:pt>
                <c:pt idx="6" formatCode="#,##0">
                  <c:v>12279</c:v>
                </c:pt>
                <c:pt idx="7" formatCode="#,##0">
                  <c:v>10775</c:v>
                </c:pt>
                <c:pt idx="8" formatCode="#,##0">
                  <c:v>8865</c:v>
                </c:pt>
                <c:pt idx="9" formatCode="#,##0">
                  <c:v>16804</c:v>
                </c:pt>
              </c:numCache>
            </c:numRef>
          </c:val>
          <c:extLst>
            <c:ext xmlns:c16="http://schemas.microsoft.com/office/drawing/2014/chart" uri="{C3380CC4-5D6E-409C-BE32-E72D297353CC}">
              <c16:uniqueId val="{00000000-CAA6-497E-8DF4-4E4FE51EFC9E}"/>
            </c:ext>
          </c:extLst>
        </c:ser>
        <c:ser>
          <c:idx val="1"/>
          <c:order val="1"/>
          <c:tx>
            <c:strRef>
              <c:f>' Industrieproduktion'!$D$49</c:f>
              <c:strCache>
                <c:ptCount val="1"/>
                <c:pt idx="0">
                  <c:v>2014</c:v>
                </c:pt>
              </c:strCache>
            </c:strRef>
          </c:tx>
          <c:invertIfNegative val="0"/>
          <c:cat>
            <c:strRef>
              <c:extLst>
                <c:ext xmlns:c15="http://schemas.microsoft.com/office/drawing/2012/chart" uri="{02D57815-91ED-43cb-92C2-25804820EDAC}">
                  <c15:fullRef>
                    <c15:sqref>' Industrieproduktion'!$A$49:$B$60</c15:sqref>
                  </c15:fullRef>
                </c:ext>
              </c:extLst>
              <c:f>' Industrieproduktion'!$A$51:$B$60</c:f>
              <c:strCache>
                <c:ptCount val="10"/>
                <c:pt idx="0">
                  <c:v>Oberösterreich</c:v>
                </c:pt>
                <c:pt idx="1">
                  <c:v>Steiermark</c:v>
                </c:pt>
                <c:pt idx="2">
                  <c:v>Vorarlberg</c:v>
                </c:pt>
                <c:pt idx="3">
                  <c:v>Kärnten</c:v>
                </c:pt>
                <c:pt idx="4">
                  <c:v>Niederösterreich</c:v>
                </c:pt>
                <c:pt idx="5">
                  <c:v>Wien</c:v>
                </c:pt>
                <c:pt idx="6">
                  <c:v>Tirol</c:v>
                </c:pt>
                <c:pt idx="7">
                  <c:v>Salzburg</c:v>
                </c:pt>
                <c:pt idx="8">
                  <c:v>Burgenland</c:v>
                </c:pt>
                <c:pt idx="9">
                  <c:v>Österreich</c:v>
                </c:pt>
              </c:strCache>
            </c:strRef>
          </c:cat>
          <c:val>
            <c:numRef>
              <c:extLst>
                <c:ext xmlns:c15="http://schemas.microsoft.com/office/drawing/2012/chart" uri="{02D57815-91ED-43cb-92C2-25804820EDAC}">
                  <c15:fullRef>
                    <c15:sqref>' Industrieproduktion'!$D$49:$D$60</c15:sqref>
                  </c15:fullRef>
                </c:ext>
              </c:extLst>
              <c:f>' Industrieproduktion'!$D$51:$D$60</c:f>
              <c:numCache>
                <c:formatCode>General</c:formatCode>
                <c:ptCount val="10"/>
                <c:pt idx="0" formatCode="#,##0">
                  <c:v>25142</c:v>
                </c:pt>
                <c:pt idx="1" formatCode="#,##0">
                  <c:v>19334</c:v>
                </c:pt>
                <c:pt idx="2" formatCode="#,##0">
                  <c:v>20901</c:v>
                </c:pt>
                <c:pt idx="3" formatCode="#,##0">
                  <c:v>11566</c:v>
                </c:pt>
                <c:pt idx="4" formatCode="#,##0">
                  <c:v>17943</c:v>
                </c:pt>
                <c:pt idx="5" formatCode="#,##0">
                  <c:v>10378</c:v>
                </c:pt>
                <c:pt idx="6" formatCode="#,##0">
                  <c:v>12439</c:v>
                </c:pt>
                <c:pt idx="7" formatCode="#,##0">
                  <c:v>10227</c:v>
                </c:pt>
                <c:pt idx="8" formatCode="#,##0">
                  <c:v>9111</c:v>
                </c:pt>
                <c:pt idx="9" formatCode="#,##0">
                  <c:v>16236</c:v>
                </c:pt>
              </c:numCache>
            </c:numRef>
          </c:val>
          <c:extLst>
            <c:ext xmlns:c16="http://schemas.microsoft.com/office/drawing/2014/chart" uri="{C3380CC4-5D6E-409C-BE32-E72D297353CC}">
              <c16:uniqueId val="{00000001-CAA6-497E-8DF4-4E4FE51EFC9E}"/>
            </c:ext>
          </c:extLst>
        </c:ser>
        <c:ser>
          <c:idx val="2"/>
          <c:order val="2"/>
          <c:tx>
            <c:strRef>
              <c:f>' Industrieproduktion'!$E$49</c:f>
              <c:strCache>
                <c:ptCount val="1"/>
                <c:pt idx="0">
                  <c:v>2016</c:v>
                </c:pt>
              </c:strCache>
            </c:strRef>
          </c:tx>
          <c:invertIfNegative val="0"/>
          <c:cat>
            <c:strRef>
              <c:extLst>
                <c:ext xmlns:c15="http://schemas.microsoft.com/office/drawing/2012/chart" uri="{02D57815-91ED-43cb-92C2-25804820EDAC}">
                  <c15:fullRef>
                    <c15:sqref>' Industrieproduktion'!$A$49:$B$60</c15:sqref>
                  </c15:fullRef>
                </c:ext>
              </c:extLst>
              <c:f>' Industrieproduktion'!$A$51:$B$60</c:f>
              <c:strCache>
                <c:ptCount val="10"/>
                <c:pt idx="0">
                  <c:v>Oberösterreich</c:v>
                </c:pt>
                <c:pt idx="1">
                  <c:v>Steiermark</c:v>
                </c:pt>
                <c:pt idx="2">
                  <c:v>Vorarlberg</c:v>
                </c:pt>
                <c:pt idx="3">
                  <c:v>Kärnten</c:v>
                </c:pt>
                <c:pt idx="4">
                  <c:v>Niederösterreich</c:v>
                </c:pt>
                <c:pt idx="5">
                  <c:v>Wien</c:v>
                </c:pt>
                <c:pt idx="6">
                  <c:v>Tirol</c:v>
                </c:pt>
                <c:pt idx="7">
                  <c:v>Salzburg</c:v>
                </c:pt>
                <c:pt idx="8">
                  <c:v>Burgenland</c:v>
                </c:pt>
                <c:pt idx="9">
                  <c:v>Österreich</c:v>
                </c:pt>
              </c:strCache>
            </c:strRef>
          </c:cat>
          <c:val>
            <c:numRef>
              <c:extLst>
                <c:ext xmlns:c15="http://schemas.microsoft.com/office/drawing/2012/chart" uri="{02D57815-91ED-43cb-92C2-25804820EDAC}">
                  <c15:fullRef>
                    <c15:sqref>' Industrieproduktion'!$E$49:$E$60</c15:sqref>
                  </c15:fullRef>
                </c:ext>
              </c:extLst>
              <c:f>' Industrieproduktion'!$E$51:$E$60</c:f>
              <c:numCache>
                <c:formatCode>General</c:formatCode>
                <c:ptCount val="10"/>
                <c:pt idx="0" formatCode="#,##0">
                  <c:v>25082</c:v>
                </c:pt>
                <c:pt idx="1" formatCode="#,##0">
                  <c:v>18530</c:v>
                </c:pt>
                <c:pt idx="2" formatCode="#,##0">
                  <c:v>20912</c:v>
                </c:pt>
                <c:pt idx="3" formatCode="#,##0">
                  <c:v>13379</c:v>
                </c:pt>
                <c:pt idx="4" formatCode="#,##0">
                  <c:v>15889</c:v>
                </c:pt>
                <c:pt idx="5" formatCode="#,##0">
                  <c:v>10311</c:v>
                </c:pt>
                <c:pt idx="6" formatCode="#,##0">
                  <c:v>12755</c:v>
                </c:pt>
                <c:pt idx="7" formatCode="#,##0">
                  <c:v>10279</c:v>
                </c:pt>
                <c:pt idx="8" formatCode="#,##0">
                  <c:v>10056</c:v>
                </c:pt>
                <c:pt idx="9" formatCode="#,##0">
                  <c:v>15864</c:v>
                </c:pt>
              </c:numCache>
            </c:numRef>
          </c:val>
          <c:extLst>
            <c:ext xmlns:c16="http://schemas.microsoft.com/office/drawing/2014/chart" uri="{C3380CC4-5D6E-409C-BE32-E72D297353CC}">
              <c16:uniqueId val="{00000002-CAA6-497E-8DF4-4E4FE51EFC9E}"/>
            </c:ext>
          </c:extLst>
        </c:ser>
        <c:ser>
          <c:idx val="3"/>
          <c:order val="3"/>
          <c:tx>
            <c:strRef>
              <c:f>' Industrieproduktion'!$F$49</c:f>
              <c:strCache>
                <c:ptCount val="1"/>
                <c:pt idx="0">
                  <c:v>2018</c:v>
                </c:pt>
              </c:strCache>
            </c:strRef>
          </c:tx>
          <c:invertIfNegative val="0"/>
          <c:cat>
            <c:strRef>
              <c:extLst>
                <c:ext xmlns:c15="http://schemas.microsoft.com/office/drawing/2012/chart" uri="{02D57815-91ED-43cb-92C2-25804820EDAC}">
                  <c15:fullRef>
                    <c15:sqref>' Industrieproduktion'!$A$49:$B$60</c15:sqref>
                  </c15:fullRef>
                </c:ext>
              </c:extLst>
              <c:f>' Industrieproduktion'!$A$51:$B$60</c:f>
              <c:strCache>
                <c:ptCount val="10"/>
                <c:pt idx="0">
                  <c:v>Oberösterreich</c:v>
                </c:pt>
                <c:pt idx="1">
                  <c:v>Steiermark</c:v>
                </c:pt>
                <c:pt idx="2">
                  <c:v>Vorarlberg</c:v>
                </c:pt>
                <c:pt idx="3">
                  <c:v>Kärnten</c:v>
                </c:pt>
                <c:pt idx="4">
                  <c:v>Niederösterreich</c:v>
                </c:pt>
                <c:pt idx="5">
                  <c:v>Wien</c:v>
                </c:pt>
                <c:pt idx="6">
                  <c:v>Tirol</c:v>
                </c:pt>
                <c:pt idx="7">
                  <c:v>Salzburg</c:v>
                </c:pt>
                <c:pt idx="8">
                  <c:v>Burgenland</c:v>
                </c:pt>
                <c:pt idx="9">
                  <c:v>Österreich</c:v>
                </c:pt>
              </c:strCache>
            </c:strRef>
          </c:cat>
          <c:val>
            <c:numRef>
              <c:extLst>
                <c:ext xmlns:c15="http://schemas.microsoft.com/office/drawing/2012/chart" uri="{02D57815-91ED-43cb-92C2-25804820EDAC}">
                  <c15:fullRef>
                    <c15:sqref>' Industrieproduktion'!$F$49:$F$60</c15:sqref>
                  </c15:fullRef>
                </c:ext>
              </c:extLst>
              <c:f>' Industrieproduktion'!$F$51:$F$60</c:f>
              <c:numCache>
                <c:formatCode>General</c:formatCode>
                <c:ptCount val="10"/>
                <c:pt idx="0" formatCode="#,##0">
                  <c:v>27867</c:v>
                </c:pt>
                <c:pt idx="1" formatCode="#,##0">
                  <c:v>22410</c:v>
                </c:pt>
                <c:pt idx="2" formatCode="#,##0">
                  <c:v>21027</c:v>
                </c:pt>
                <c:pt idx="3" formatCode="#,##0">
                  <c:v>16587</c:v>
                </c:pt>
                <c:pt idx="4" formatCode="#,##0">
                  <c:v>18813</c:v>
                </c:pt>
                <c:pt idx="5" formatCode="#,##0">
                  <c:v>16157</c:v>
                </c:pt>
                <c:pt idx="6" formatCode="#,##0">
                  <c:v>13937</c:v>
                </c:pt>
                <c:pt idx="7" formatCode="#,##0">
                  <c:v>11498</c:v>
                </c:pt>
                <c:pt idx="8" formatCode="#,##0">
                  <c:v>11298</c:v>
                </c:pt>
                <c:pt idx="9" formatCode="#,##0">
                  <c:v>19098</c:v>
                </c:pt>
              </c:numCache>
            </c:numRef>
          </c:val>
          <c:extLst>
            <c:ext xmlns:c16="http://schemas.microsoft.com/office/drawing/2014/chart" uri="{C3380CC4-5D6E-409C-BE32-E72D297353CC}">
              <c16:uniqueId val="{00000003-CAA6-497E-8DF4-4E4FE51EFC9E}"/>
            </c:ext>
          </c:extLst>
        </c:ser>
        <c:ser>
          <c:idx val="4"/>
          <c:order val="4"/>
          <c:tx>
            <c:strRef>
              <c:f>' Industrieproduktion'!$G$49</c:f>
              <c:strCache>
                <c:ptCount val="1"/>
                <c:pt idx="0">
                  <c:v>2020</c:v>
                </c:pt>
              </c:strCache>
              <c:extLst xmlns:c15="http://schemas.microsoft.com/office/drawing/2012/chart"/>
            </c:strRef>
          </c:tx>
          <c:invertIfNegative val="0"/>
          <c:cat>
            <c:strRef>
              <c:extLst>
                <c:ext xmlns:c15="http://schemas.microsoft.com/office/drawing/2012/chart" uri="{02D57815-91ED-43cb-92C2-25804820EDAC}">
                  <c15:fullRef>
                    <c15:sqref>' Industrieproduktion'!$A$49:$B$60</c15:sqref>
                  </c15:fullRef>
                </c:ext>
              </c:extLst>
              <c:f>' Industrieproduktion'!$A$51:$B$60</c:f>
              <c:strCache>
                <c:ptCount val="10"/>
                <c:pt idx="0">
                  <c:v>Oberösterreich</c:v>
                </c:pt>
                <c:pt idx="1">
                  <c:v>Steiermark</c:v>
                </c:pt>
                <c:pt idx="2">
                  <c:v>Vorarlberg</c:v>
                </c:pt>
                <c:pt idx="3">
                  <c:v>Kärnten</c:v>
                </c:pt>
                <c:pt idx="4">
                  <c:v>Niederösterreich</c:v>
                </c:pt>
                <c:pt idx="5">
                  <c:v>Wien</c:v>
                </c:pt>
                <c:pt idx="6">
                  <c:v>Tirol</c:v>
                </c:pt>
                <c:pt idx="7">
                  <c:v>Salzburg</c:v>
                </c:pt>
                <c:pt idx="8">
                  <c:v>Burgenland</c:v>
                </c:pt>
                <c:pt idx="9">
                  <c:v>Österreich</c:v>
                </c:pt>
              </c:strCache>
            </c:strRef>
          </c:cat>
          <c:val>
            <c:numRef>
              <c:extLst>
                <c:ext xmlns:c15="http://schemas.microsoft.com/office/drawing/2012/chart" uri="{02D57815-91ED-43cb-92C2-25804820EDAC}">
                  <c15:fullRef>
                    <c15:sqref>' Industrieproduktion'!$G$49:$G$60</c15:sqref>
                  </c15:fullRef>
                </c:ext>
              </c:extLst>
              <c:f>' Industrieproduktion'!$G$51:$G$60</c:f>
              <c:numCache>
                <c:formatCode>General</c:formatCode>
                <c:ptCount val="10"/>
                <c:pt idx="0" formatCode="#,##0">
                  <c:v>24203</c:v>
                </c:pt>
                <c:pt idx="1" formatCode="#,##0">
                  <c:v>19909</c:v>
                </c:pt>
                <c:pt idx="2" formatCode="#,##0">
                  <c:v>20322</c:v>
                </c:pt>
                <c:pt idx="3" formatCode="#,##0">
                  <c:v>16762</c:v>
                </c:pt>
                <c:pt idx="4" formatCode="#,##0">
                  <c:v>15385</c:v>
                </c:pt>
                <c:pt idx="5" formatCode="#,##0">
                  <c:v>12551</c:v>
                </c:pt>
                <c:pt idx="6" formatCode="#,##0">
                  <c:v>13535</c:v>
                </c:pt>
                <c:pt idx="7" formatCode="#,##0">
                  <c:v>9558</c:v>
                </c:pt>
                <c:pt idx="8" formatCode="#,##0">
                  <c:v>9488</c:v>
                </c:pt>
                <c:pt idx="9" formatCode="#,##0">
                  <c:v>16390</c:v>
                </c:pt>
              </c:numCache>
            </c:numRef>
          </c:val>
          <c:extLst xmlns:c15="http://schemas.microsoft.com/office/drawing/2012/chart">
            <c:ext xmlns:c16="http://schemas.microsoft.com/office/drawing/2014/chart" uri="{C3380CC4-5D6E-409C-BE32-E72D297353CC}">
              <c16:uniqueId val="{00000004-CAA6-497E-8DF4-4E4FE51EFC9E}"/>
            </c:ext>
          </c:extLst>
        </c:ser>
        <c:ser>
          <c:idx val="5"/>
          <c:order val="5"/>
          <c:tx>
            <c:strRef>
              <c:f>' Industrieproduktion'!$H$49</c:f>
              <c:strCache>
                <c:ptCount val="1"/>
                <c:pt idx="0">
                  <c:v>2021</c:v>
                </c:pt>
              </c:strCache>
            </c:strRef>
          </c:tx>
          <c:invertIfNegative val="0"/>
          <c:cat>
            <c:strRef>
              <c:extLst>
                <c:ext xmlns:c15="http://schemas.microsoft.com/office/drawing/2012/chart" uri="{02D57815-91ED-43cb-92C2-25804820EDAC}">
                  <c15:fullRef>
                    <c15:sqref>' Industrieproduktion'!$A$49:$B$60</c15:sqref>
                  </c15:fullRef>
                </c:ext>
              </c:extLst>
              <c:f>' Industrieproduktion'!$A$51:$B$60</c:f>
              <c:strCache>
                <c:ptCount val="10"/>
                <c:pt idx="0">
                  <c:v>Oberösterreich</c:v>
                </c:pt>
                <c:pt idx="1">
                  <c:v>Steiermark</c:v>
                </c:pt>
                <c:pt idx="2">
                  <c:v>Vorarlberg</c:v>
                </c:pt>
                <c:pt idx="3">
                  <c:v>Kärnten</c:v>
                </c:pt>
                <c:pt idx="4">
                  <c:v>Niederösterreich</c:v>
                </c:pt>
                <c:pt idx="5">
                  <c:v>Wien</c:v>
                </c:pt>
                <c:pt idx="6">
                  <c:v>Tirol</c:v>
                </c:pt>
                <c:pt idx="7">
                  <c:v>Salzburg</c:v>
                </c:pt>
                <c:pt idx="8">
                  <c:v>Burgenland</c:v>
                </c:pt>
                <c:pt idx="9">
                  <c:v>Österreich</c:v>
                </c:pt>
              </c:strCache>
            </c:strRef>
          </c:cat>
          <c:val>
            <c:numRef>
              <c:extLst>
                <c:ext xmlns:c15="http://schemas.microsoft.com/office/drawing/2012/chart" uri="{02D57815-91ED-43cb-92C2-25804820EDAC}">
                  <c15:fullRef>
                    <c15:sqref>' Industrieproduktion'!$H$49:$H$60</c15:sqref>
                  </c15:fullRef>
                </c:ext>
              </c:extLst>
              <c:f>' Industrieproduktion'!$H$51:$H$60</c:f>
              <c:numCache>
                <c:formatCode>General</c:formatCode>
                <c:ptCount val="10"/>
                <c:pt idx="0" formatCode="#,##0">
                  <c:v>29075</c:v>
                </c:pt>
                <c:pt idx="1" formatCode="#,##0">
                  <c:v>23351</c:v>
                </c:pt>
                <c:pt idx="2" formatCode="#,##0">
                  <c:v>23775</c:v>
                </c:pt>
                <c:pt idx="3" formatCode="#,##0">
                  <c:v>19294</c:v>
                </c:pt>
                <c:pt idx="4" formatCode="#,##0">
                  <c:v>18862</c:v>
                </c:pt>
                <c:pt idx="5" formatCode="#,##0">
                  <c:v>24675</c:v>
                </c:pt>
                <c:pt idx="6" formatCode="#,##0">
                  <c:v>15412</c:v>
                </c:pt>
                <c:pt idx="7" formatCode="#,##0">
                  <c:v>11332</c:v>
                </c:pt>
                <c:pt idx="8" formatCode="#,##0">
                  <c:v>10286</c:v>
                </c:pt>
                <c:pt idx="9" formatCode="#,##0">
                  <c:v>21646</c:v>
                </c:pt>
              </c:numCache>
            </c:numRef>
          </c:val>
          <c:extLst>
            <c:ext xmlns:c16="http://schemas.microsoft.com/office/drawing/2014/chart" uri="{C3380CC4-5D6E-409C-BE32-E72D297353CC}">
              <c16:uniqueId val="{00000000-2F3C-4161-A7C2-B0DDE36B851C}"/>
            </c:ext>
          </c:extLst>
        </c:ser>
        <c:ser>
          <c:idx val="6"/>
          <c:order val="6"/>
          <c:tx>
            <c:strRef>
              <c:f>' Industrieproduktion'!$I$49</c:f>
              <c:strCache>
                <c:ptCount val="1"/>
                <c:pt idx="0">
                  <c:v>2022</c:v>
                </c:pt>
              </c:strCache>
            </c:strRef>
          </c:tx>
          <c:invertIfNegative val="0"/>
          <c:cat>
            <c:strRef>
              <c:extLst>
                <c:ext xmlns:c15="http://schemas.microsoft.com/office/drawing/2012/chart" uri="{02D57815-91ED-43cb-92C2-25804820EDAC}">
                  <c15:fullRef>
                    <c15:sqref>' Industrieproduktion'!$A$49:$B$60</c15:sqref>
                  </c15:fullRef>
                </c:ext>
              </c:extLst>
              <c:f>' Industrieproduktion'!$A$51:$B$60</c:f>
              <c:strCache>
                <c:ptCount val="10"/>
                <c:pt idx="0">
                  <c:v>Oberösterreich</c:v>
                </c:pt>
                <c:pt idx="1">
                  <c:v>Steiermark</c:v>
                </c:pt>
                <c:pt idx="2">
                  <c:v>Vorarlberg</c:v>
                </c:pt>
                <c:pt idx="3">
                  <c:v>Kärnten</c:v>
                </c:pt>
                <c:pt idx="4">
                  <c:v>Niederösterreich</c:v>
                </c:pt>
                <c:pt idx="5">
                  <c:v>Wien</c:v>
                </c:pt>
                <c:pt idx="6">
                  <c:v>Tirol</c:v>
                </c:pt>
                <c:pt idx="7">
                  <c:v>Salzburg</c:v>
                </c:pt>
                <c:pt idx="8">
                  <c:v>Burgenland</c:v>
                </c:pt>
                <c:pt idx="9">
                  <c:v>Österreich</c:v>
                </c:pt>
              </c:strCache>
            </c:strRef>
          </c:cat>
          <c:val>
            <c:numRef>
              <c:extLst>
                <c:ext xmlns:c15="http://schemas.microsoft.com/office/drawing/2012/chart" uri="{02D57815-91ED-43cb-92C2-25804820EDAC}">
                  <c15:fullRef>
                    <c15:sqref>' Industrieproduktion'!$I$49:$I$60</c15:sqref>
                  </c15:fullRef>
                </c:ext>
              </c:extLst>
              <c:f>' Industrieproduktion'!$I$51:$I$60</c:f>
              <c:numCache>
                <c:formatCode>General</c:formatCode>
                <c:ptCount val="10"/>
                <c:pt idx="0" formatCode="#,##0">
                  <c:v>35404</c:v>
                </c:pt>
                <c:pt idx="1" formatCode="#,##0">
                  <c:v>26130</c:v>
                </c:pt>
                <c:pt idx="2" formatCode="#,##0">
                  <c:v>26206</c:v>
                </c:pt>
                <c:pt idx="3" formatCode="#,##0">
                  <c:v>24372</c:v>
                </c:pt>
                <c:pt idx="4" formatCode="#,##0">
                  <c:v>22356</c:v>
                </c:pt>
                <c:pt idx="5" formatCode="#,##0">
                  <c:v>35643</c:v>
                </c:pt>
                <c:pt idx="6" formatCode="#,##0">
                  <c:v>17546</c:v>
                </c:pt>
                <c:pt idx="7" formatCode="#,##0">
                  <c:v>12570</c:v>
                </c:pt>
                <c:pt idx="8" formatCode="#,##0">
                  <c:v>12081</c:v>
                </c:pt>
                <c:pt idx="9" formatCode="#,##0">
                  <c:v>26875</c:v>
                </c:pt>
              </c:numCache>
            </c:numRef>
          </c:val>
          <c:extLst>
            <c:ext xmlns:c16="http://schemas.microsoft.com/office/drawing/2014/chart" uri="{C3380CC4-5D6E-409C-BE32-E72D297353CC}">
              <c16:uniqueId val="{00000000-837F-40B7-9581-55753BFB92DF}"/>
            </c:ext>
          </c:extLst>
        </c:ser>
        <c:ser>
          <c:idx val="7"/>
          <c:order val="7"/>
          <c:tx>
            <c:strRef>
              <c:f>' Industrieproduktion'!$J$49</c:f>
              <c:strCache>
                <c:ptCount val="1"/>
                <c:pt idx="0">
                  <c:v>2023</c:v>
                </c:pt>
              </c:strCache>
            </c:strRef>
          </c:tx>
          <c:invertIfNegative val="0"/>
          <c:cat>
            <c:strLit>
              <c:ptCount val="10"/>
              <c:pt idx="0">
                <c:v>Oberösterreich</c:v>
              </c:pt>
              <c:pt idx="1">
                <c:v>Steiermark</c:v>
              </c:pt>
              <c:pt idx="2">
                <c:v>Vorarlberg</c:v>
              </c:pt>
              <c:pt idx="3">
                <c:v>Kärnten</c:v>
              </c:pt>
              <c:pt idx="4">
                <c:v>Niederösterreich</c:v>
              </c:pt>
              <c:pt idx="5">
                <c:v>Wien</c:v>
              </c:pt>
              <c:pt idx="6">
                <c:v>Tirol</c:v>
              </c:pt>
              <c:pt idx="7">
                <c:v>Salzburg</c:v>
              </c:pt>
              <c:pt idx="8">
                <c:v>Burgenland</c:v>
              </c:pt>
              <c:pt idx="9">
                <c:v>Österreich</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 Industrieproduktion'!$J$49:$J$60</c15:sqref>
                  </c15:fullRef>
                </c:ext>
              </c:extLst>
              <c:f>' Industrieproduktion'!$J$51:$J$60</c:f>
              <c:numCache>
                <c:formatCode>General</c:formatCode>
                <c:ptCount val="10"/>
                <c:pt idx="0" formatCode="#,##0">
                  <c:v>34099</c:v>
                </c:pt>
                <c:pt idx="1" formatCode="#,##0">
                  <c:v>25498</c:v>
                </c:pt>
                <c:pt idx="2" formatCode="#,##0">
                  <c:v>24743</c:v>
                </c:pt>
                <c:pt idx="3" formatCode="#,##0">
                  <c:v>23423</c:v>
                </c:pt>
                <c:pt idx="4" formatCode="#,##0">
                  <c:v>21494</c:v>
                </c:pt>
                <c:pt idx="5" formatCode="#,##0">
                  <c:v>19698</c:v>
                </c:pt>
                <c:pt idx="6" formatCode="#,##0">
                  <c:v>16888</c:v>
                </c:pt>
                <c:pt idx="7" formatCode="#,##0">
                  <c:v>13100</c:v>
                </c:pt>
                <c:pt idx="8" formatCode="#,##0">
                  <c:v>12756</c:v>
                </c:pt>
                <c:pt idx="9" formatCode="#,##0">
                  <c:v>22828</c:v>
                </c:pt>
              </c:numCache>
            </c:numRef>
          </c:val>
          <c:extLst>
            <c:ext xmlns:c16="http://schemas.microsoft.com/office/drawing/2014/chart" uri="{C3380CC4-5D6E-409C-BE32-E72D297353CC}">
              <c16:uniqueId val="{00000009-A337-47DD-A866-D168DC36511A}"/>
            </c:ext>
          </c:extLst>
        </c:ser>
        <c:dLbls>
          <c:showLegendKey val="0"/>
          <c:showVal val="0"/>
          <c:showCatName val="0"/>
          <c:showSerName val="0"/>
          <c:showPercent val="0"/>
          <c:showBubbleSize val="0"/>
        </c:dLbls>
        <c:gapWidth val="150"/>
        <c:axId val="110615552"/>
        <c:axId val="111244032"/>
        <c:extLst/>
      </c:barChart>
      <c:catAx>
        <c:axId val="110615552"/>
        <c:scaling>
          <c:orientation val="minMax"/>
        </c:scaling>
        <c:delete val="0"/>
        <c:axPos val="l"/>
        <c:numFmt formatCode="General" sourceLinked="0"/>
        <c:majorTickMark val="out"/>
        <c:minorTickMark val="none"/>
        <c:tickLblPos val="nextTo"/>
        <c:crossAx val="111244032"/>
        <c:crosses val="autoZero"/>
        <c:auto val="1"/>
        <c:lblAlgn val="ctr"/>
        <c:lblOffset val="100"/>
        <c:noMultiLvlLbl val="0"/>
      </c:catAx>
      <c:valAx>
        <c:axId val="111244032"/>
        <c:scaling>
          <c:orientation val="minMax"/>
        </c:scaling>
        <c:delete val="0"/>
        <c:axPos val="b"/>
        <c:majorGridlines/>
        <c:numFmt formatCode="General" sourceLinked="1"/>
        <c:majorTickMark val="out"/>
        <c:minorTickMark val="none"/>
        <c:tickLblPos val="nextTo"/>
        <c:crossAx val="11061555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 Industrieproduktion'!$N$49</c:f>
              <c:strCache>
                <c:ptCount val="1"/>
                <c:pt idx="0">
                  <c:v>2013</c:v>
                </c:pt>
              </c:strCache>
            </c:strRef>
          </c:tx>
          <c:spPr>
            <a:solidFill>
              <a:schemeClr val="bg1">
                <a:lumMod val="85000"/>
              </a:schemeClr>
            </a:solidFill>
          </c:spPr>
          <c:invertIfNegative val="0"/>
          <c:cat>
            <c:strRef>
              <c:f>' Industrieproduktion'!$L$52:$M$60</c:f>
              <c:strCache>
                <c:ptCount val="9"/>
                <c:pt idx="0">
                  <c:v>Salzburg</c:v>
                </c:pt>
                <c:pt idx="1">
                  <c:v>Tirol</c:v>
                </c:pt>
                <c:pt idx="2">
                  <c:v>Wien</c:v>
                </c:pt>
                <c:pt idx="3">
                  <c:v>Niederösterreich</c:v>
                </c:pt>
                <c:pt idx="4">
                  <c:v>Kärnten</c:v>
                </c:pt>
                <c:pt idx="5">
                  <c:v>Vorarlberg</c:v>
                </c:pt>
                <c:pt idx="6">
                  <c:v>Steiermark</c:v>
                </c:pt>
                <c:pt idx="7">
                  <c:v>Oberösterreich</c:v>
                </c:pt>
                <c:pt idx="8">
                  <c:v>Österreich</c:v>
                </c:pt>
              </c:strCache>
            </c:strRef>
          </c:cat>
          <c:val>
            <c:numRef>
              <c:f>' Industrieproduktion'!$N$52:$N$60</c:f>
              <c:numCache>
                <c:formatCode>#,##0</c:formatCode>
                <c:ptCount val="9"/>
                <c:pt idx="0">
                  <c:v>11189</c:v>
                </c:pt>
                <c:pt idx="1">
                  <c:v>12693</c:v>
                </c:pt>
                <c:pt idx="2">
                  <c:v>13066</c:v>
                </c:pt>
                <c:pt idx="3">
                  <c:v>19751</c:v>
                </c:pt>
                <c:pt idx="4">
                  <c:v>11953</c:v>
                </c:pt>
                <c:pt idx="5">
                  <c:v>18900</c:v>
                </c:pt>
                <c:pt idx="6">
                  <c:v>18970</c:v>
                </c:pt>
                <c:pt idx="7">
                  <c:v>25338</c:v>
                </c:pt>
                <c:pt idx="8">
                  <c:v>17119</c:v>
                </c:pt>
              </c:numCache>
            </c:numRef>
          </c:val>
          <c:extLst>
            <c:ext xmlns:c16="http://schemas.microsoft.com/office/drawing/2014/chart" uri="{C3380CC4-5D6E-409C-BE32-E72D297353CC}">
              <c16:uniqueId val="{00000000-23A4-4AC3-8E27-66AFC32BEEC6}"/>
            </c:ext>
          </c:extLst>
        </c:ser>
        <c:ser>
          <c:idx val="1"/>
          <c:order val="1"/>
          <c:tx>
            <c:strRef>
              <c:f>' Industrieproduktion'!$O$49</c:f>
              <c:strCache>
                <c:ptCount val="1"/>
                <c:pt idx="0">
                  <c:v>2014</c:v>
                </c:pt>
              </c:strCache>
            </c:strRef>
          </c:tx>
          <c:spPr>
            <a:solidFill>
              <a:schemeClr val="bg1">
                <a:lumMod val="65000"/>
              </a:schemeClr>
            </a:solidFill>
          </c:spPr>
          <c:invertIfNegative val="0"/>
          <c:cat>
            <c:strRef>
              <c:f>' Industrieproduktion'!$L$52:$M$60</c:f>
              <c:strCache>
                <c:ptCount val="9"/>
                <c:pt idx="0">
                  <c:v>Salzburg</c:v>
                </c:pt>
                <c:pt idx="1">
                  <c:v>Tirol</c:v>
                </c:pt>
                <c:pt idx="2">
                  <c:v>Wien</c:v>
                </c:pt>
                <c:pt idx="3">
                  <c:v>Niederösterreich</c:v>
                </c:pt>
                <c:pt idx="4">
                  <c:v>Kärnten</c:v>
                </c:pt>
                <c:pt idx="5">
                  <c:v>Vorarlberg</c:v>
                </c:pt>
                <c:pt idx="6">
                  <c:v>Steiermark</c:v>
                </c:pt>
                <c:pt idx="7">
                  <c:v>Oberösterreich</c:v>
                </c:pt>
                <c:pt idx="8">
                  <c:v>Österreich</c:v>
                </c:pt>
              </c:strCache>
            </c:strRef>
          </c:cat>
          <c:val>
            <c:numRef>
              <c:f>' Industrieproduktion'!$O$52:$O$60</c:f>
              <c:numCache>
                <c:formatCode>#,##0</c:formatCode>
                <c:ptCount val="9"/>
                <c:pt idx="0">
                  <c:v>10227</c:v>
                </c:pt>
                <c:pt idx="1">
                  <c:v>12439</c:v>
                </c:pt>
                <c:pt idx="2">
                  <c:v>10378</c:v>
                </c:pt>
                <c:pt idx="3">
                  <c:v>17943</c:v>
                </c:pt>
                <c:pt idx="4">
                  <c:v>11566</c:v>
                </c:pt>
                <c:pt idx="5">
                  <c:v>20901</c:v>
                </c:pt>
                <c:pt idx="6">
                  <c:v>19334</c:v>
                </c:pt>
                <c:pt idx="7">
                  <c:v>25142</c:v>
                </c:pt>
                <c:pt idx="8">
                  <c:v>16236</c:v>
                </c:pt>
              </c:numCache>
            </c:numRef>
          </c:val>
          <c:extLst>
            <c:ext xmlns:c16="http://schemas.microsoft.com/office/drawing/2014/chart" uri="{C3380CC4-5D6E-409C-BE32-E72D297353CC}">
              <c16:uniqueId val="{00000001-23A4-4AC3-8E27-66AFC32BEEC6}"/>
            </c:ext>
          </c:extLst>
        </c:ser>
        <c:ser>
          <c:idx val="2"/>
          <c:order val="2"/>
          <c:tx>
            <c:strRef>
              <c:f>' Industrieproduktion'!$P$49</c:f>
              <c:strCache>
                <c:ptCount val="1"/>
                <c:pt idx="0">
                  <c:v>2016</c:v>
                </c:pt>
              </c:strCache>
            </c:strRef>
          </c:tx>
          <c:spPr>
            <a:solidFill>
              <a:schemeClr val="tx1">
                <a:lumMod val="50000"/>
                <a:lumOff val="50000"/>
              </a:schemeClr>
            </a:solidFill>
          </c:spPr>
          <c:invertIfNegative val="0"/>
          <c:cat>
            <c:strRef>
              <c:f>' Industrieproduktion'!$L$52:$M$60</c:f>
              <c:strCache>
                <c:ptCount val="9"/>
                <c:pt idx="0">
                  <c:v>Salzburg</c:v>
                </c:pt>
                <c:pt idx="1">
                  <c:v>Tirol</c:v>
                </c:pt>
                <c:pt idx="2">
                  <c:v>Wien</c:v>
                </c:pt>
                <c:pt idx="3">
                  <c:v>Niederösterreich</c:v>
                </c:pt>
                <c:pt idx="4">
                  <c:v>Kärnten</c:v>
                </c:pt>
                <c:pt idx="5">
                  <c:v>Vorarlberg</c:v>
                </c:pt>
                <c:pt idx="6">
                  <c:v>Steiermark</c:v>
                </c:pt>
                <c:pt idx="7">
                  <c:v>Oberösterreich</c:v>
                </c:pt>
                <c:pt idx="8">
                  <c:v>Österreich</c:v>
                </c:pt>
              </c:strCache>
            </c:strRef>
          </c:cat>
          <c:val>
            <c:numRef>
              <c:f>' Industrieproduktion'!$P$52:$P$60</c:f>
              <c:numCache>
                <c:formatCode>#,##0</c:formatCode>
                <c:ptCount val="9"/>
                <c:pt idx="0">
                  <c:v>10279</c:v>
                </c:pt>
                <c:pt idx="1">
                  <c:v>12755</c:v>
                </c:pt>
                <c:pt idx="2">
                  <c:v>10311</c:v>
                </c:pt>
                <c:pt idx="3">
                  <c:v>15889</c:v>
                </c:pt>
                <c:pt idx="4">
                  <c:v>13379</c:v>
                </c:pt>
                <c:pt idx="5">
                  <c:v>20912</c:v>
                </c:pt>
                <c:pt idx="6">
                  <c:v>18530</c:v>
                </c:pt>
                <c:pt idx="7">
                  <c:v>25082</c:v>
                </c:pt>
                <c:pt idx="8">
                  <c:v>15864</c:v>
                </c:pt>
              </c:numCache>
            </c:numRef>
          </c:val>
          <c:extLst>
            <c:ext xmlns:c16="http://schemas.microsoft.com/office/drawing/2014/chart" uri="{C3380CC4-5D6E-409C-BE32-E72D297353CC}">
              <c16:uniqueId val="{00000002-23A4-4AC3-8E27-66AFC32BEEC6}"/>
            </c:ext>
          </c:extLst>
        </c:ser>
        <c:ser>
          <c:idx val="3"/>
          <c:order val="3"/>
          <c:tx>
            <c:strRef>
              <c:f>' Industrieproduktion'!$Q$49</c:f>
              <c:strCache>
                <c:ptCount val="1"/>
                <c:pt idx="0">
                  <c:v>2018</c:v>
                </c:pt>
              </c:strCache>
            </c:strRef>
          </c:tx>
          <c:spPr>
            <a:solidFill>
              <a:schemeClr val="tx1">
                <a:lumMod val="75000"/>
                <a:lumOff val="25000"/>
              </a:schemeClr>
            </a:solidFill>
          </c:spPr>
          <c:invertIfNegative val="0"/>
          <c:cat>
            <c:strRef>
              <c:f>' Industrieproduktion'!$L$52:$M$60</c:f>
              <c:strCache>
                <c:ptCount val="9"/>
                <c:pt idx="0">
                  <c:v>Salzburg</c:v>
                </c:pt>
                <c:pt idx="1">
                  <c:v>Tirol</c:v>
                </c:pt>
                <c:pt idx="2">
                  <c:v>Wien</c:v>
                </c:pt>
                <c:pt idx="3">
                  <c:v>Niederösterreich</c:v>
                </c:pt>
                <c:pt idx="4">
                  <c:v>Kärnten</c:v>
                </c:pt>
                <c:pt idx="5">
                  <c:v>Vorarlberg</c:v>
                </c:pt>
                <c:pt idx="6">
                  <c:v>Steiermark</c:v>
                </c:pt>
                <c:pt idx="7">
                  <c:v>Oberösterreich</c:v>
                </c:pt>
                <c:pt idx="8">
                  <c:v>Österreich</c:v>
                </c:pt>
              </c:strCache>
            </c:strRef>
          </c:cat>
          <c:val>
            <c:numRef>
              <c:f>' Industrieproduktion'!$Q$52:$Q$60</c:f>
              <c:numCache>
                <c:formatCode>#,##0</c:formatCode>
                <c:ptCount val="9"/>
                <c:pt idx="0">
                  <c:v>11498</c:v>
                </c:pt>
                <c:pt idx="1">
                  <c:v>13937</c:v>
                </c:pt>
                <c:pt idx="2">
                  <c:v>16157</c:v>
                </c:pt>
                <c:pt idx="3">
                  <c:v>18813</c:v>
                </c:pt>
                <c:pt idx="4">
                  <c:v>16587</c:v>
                </c:pt>
                <c:pt idx="5">
                  <c:v>21027</c:v>
                </c:pt>
                <c:pt idx="6">
                  <c:v>22410</c:v>
                </c:pt>
                <c:pt idx="7">
                  <c:v>27867</c:v>
                </c:pt>
                <c:pt idx="8">
                  <c:v>19098</c:v>
                </c:pt>
              </c:numCache>
            </c:numRef>
          </c:val>
          <c:extLst>
            <c:ext xmlns:c16="http://schemas.microsoft.com/office/drawing/2014/chart" uri="{C3380CC4-5D6E-409C-BE32-E72D297353CC}">
              <c16:uniqueId val="{00000003-23A4-4AC3-8E27-66AFC32BEEC6}"/>
            </c:ext>
          </c:extLst>
        </c:ser>
        <c:ser>
          <c:idx val="4"/>
          <c:order val="4"/>
          <c:tx>
            <c:strRef>
              <c:f>' Industrieproduktion'!$R$49</c:f>
              <c:strCache>
                <c:ptCount val="1"/>
                <c:pt idx="0">
                  <c:v>2020</c:v>
                </c:pt>
              </c:strCache>
            </c:strRef>
          </c:tx>
          <c:spPr>
            <a:solidFill>
              <a:schemeClr val="tx1">
                <a:lumMod val="85000"/>
                <a:lumOff val="15000"/>
              </a:schemeClr>
            </a:solidFill>
          </c:spPr>
          <c:invertIfNegative val="0"/>
          <c:cat>
            <c:strRef>
              <c:f>' Industrieproduktion'!$L$52:$M$60</c:f>
              <c:strCache>
                <c:ptCount val="9"/>
                <c:pt idx="0">
                  <c:v>Salzburg</c:v>
                </c:pt>
                <c:pt idx="1">
                  <c:v>Tirol</c:v>
                </c:pt>
                <c:pt idx="2">
                  <c:v>Wien</c:v>
                </c:pt>
                <c:pt idx="3">
                  <c:v>Niederösterreich</c:v>
                </c:pt>
                <c:pt idx="4">
                  <c:v>Kärnten</c:v>
                </c:pt>
                <c:pt idx="5">
                  <c:v>Vorarlberg</c:v>
                </c:pt>
                <c:pt idx="6">
                  <c:v>Steiermark</c:v>
                </c:pt>
                <c:pt idx="7">
                  <c:v>Oberösterreich</c:v>
                </c:pt>
                <c:pt idx="8">
                  <c:v>Österreich</c:v>
                </c:pt>
              </c:strCache>
            </c:strRef>
          </c:cat>
          <c:val>
            <c:numRef>
              <c:f>' Industrieproduktion'!$R$52:$R$60</c:f>
              <c:numCache>
                <c:formatCode>#,##0</c:formatCode>
                <c:ptCount val="9"/>
                <c:pt idx="0">
                  <c:v>9558</c:v>
                </c:pt>
                <c:pt idx="1">
                  <c:v>13535</c:v>
                </c:pt>
                <c:pt idx="2">
                  <c:v>12551</c:v>
                </c:pt>
                <c:pt idx="3">
                  <c:v>15385</c:v>
                </c:pt>
                <c:pt idx="4">
                  <c:v>16762</c:v>
                </c:pt>
                <c:pt idx="5">
                  <c:v>20322</c:v>
                </c:pt>
                <c:pt idx="6">
                  <c:v>19909</c:v>
                </c:pt>
                <c:pt idx="7">
                  <c:v>24203</c:v>
                </c:pt>
                <c:pt idx="8">
                  <c:v>16390</c:v>
                </c:pt>
              </c:numCache>
            </c:numRef>
          </c:val>
          <c:extLst xmlns:c15="http://schemas.microsoft.com/office/drawing/2012/chart">
            <c:ext xmlns:c16="http://schemas.microsoft.com/office/drawing/2014/chart" uri="{C3380CC4-5D6E-409C-BE32-E72D297353CC}">
              <c16:uniqueId val="{00000004-23A4-4AC3-8E27-66AFC32BEEC6}"/>
            </c:ext>
          </c:extLst>
        </c:ser>
        <c:ser>
          <c:idx val="5"/>
          <c:order val="5"/>
          <c:tx>
            <c:strRef>
              <c:f>' Industrieproduktion'!$S$49</c:f>
              <c:strCache>
                <c:ptCount val="1"/>
                <c:pt idx="0">
                  <c:v>2021</c:v>
                </c:pt>
              </c:strCache>
            </c:strRef>
          </c:tx>
          <c:spPr>
            <a:solidFill>
              <a:schemeClr val="tx1">
                <a:lumMod val="95000"/>
                <a:lumOff val="5000"/>
              </a:schemeClr>
            </a:solidFill>
          </c:spPr>
          <c:invertIfNegative val="0"/>
          <c:cat>
            <c:strRef>
              <c:f>' Industrieproduktion'!$L$52:$M$60</c:f>
              <c:strCache>
                <c:ptCount val="9"/>
                <c:pt idx="0">
                  <c:v>Salzburg</c:v>
                </c:pt>
                <c:pt idx="1">
                  <c:v>Tirol</c:v>
                </c:pt>
                <c:pt idx="2">
                  <c:v>Wien</c:v>
                </c:pt>
                <c:pt idx="3">
                  <c:v>Niederösterreich</c:v>
                </c:pt>
                <c:pt idx="4">
                  <c:v>Kärnten</c:v>
                </c:pt>
                <c:pt idx="5">
                  <c:v>Vorarlberg</c:v>
                </c:pt>
                <c:pt idx="6">
                  <c:v>Steiermark</c:v>
                </c:pt>
                <c:pt idx="7">
                  <c:v>Oberösterreich</c:v>
                </c:pt>
                <c:pt idx="8">
                  <c:v>Österreich</c:v>
                </c:pt>
              </c:strCache>
            </c:strRef>
          </c:cat>
          <c:val>
            <c:numRef>
              <c:f>' Industrieproduktion'!$S$52:$S$60</c:f>
              <c:numCache>
                <c:formatCode>#,##0</c:formatCode>
                <c:ptCount val="9"/>
                <c:pt idx="0">
                  <c:v>11332</c:v>
                </c:pt>
                <c:pt idx="1">
                  <c:v>15412</c:v>
                </c:pt>
                <c:pt idx="2">
                  <c:v>24675</c:v>
                </c:pt>
                <c:pt idx="3">
                  <c:v>18862</c:v>
                </c:pt>
                <c:pt idx="4">
                  <c:v>19294</c:v>
                </c:pt>
                <c:pt idx="5">
                  <c:v>23775</c:v>
                </c:pt>
                <c:pt idx="6">
                  <c:v>23351</c:v>
                </c:pt>
                <c:pt idx="7">
                  <c:v>29075</c:v>
                </c:pt>
                <c:pt idx="8">
                  <c:v>21646</c:v>
                </c:pt>
              </c:numCache>
            </c:numRef>
          </c:val>
          <c:extLst>
            <c:ext xmlns:c16="http://schemas.microsoft.com/office/drawing/2014/chart" uri="{C3380CC4-5D6E-409C-BE32-E72D297353CC}">
              <c16:uniqueId val="{00000000-F2AD-4B93-8315-3B82B19FB334}"/>
            </c:ext>
          </c:extLst>
        </c:ser>
        <c:ser>
          <c:idx val="6"/>
          <c:order val="6"/>
          <c:tx>
            <c:strRef>
              <c:f>' Industrieproduktion'!$T$49</c:f>
              <c:strCache>
                <c:ptCount val="1"/>
                <c:pt idx="0">
                  <c:v>2022</c:v>
                </c:pt>
              </c:strCache>
            </c:strRef>
          </c:tx>
          <c:spPr>
            <a:solidFill>
              <a:srgbClr val="D0D0D0"/>
            </a:solidFill>
          </c:spPr>
          <c:invertIfNegative val="0"/>
          <c:cat>
            <c:strRef>
              <c:f>' Industrieproduktion'!$L$52:$M$60</c:f>
              <c:strCache>
                <c:ptCount val="9"/>
                <c:pt idx="0">
                  <c:v>Salzburg</c:v>
                </c:pt>
                <c:pt idx="1">
                  <c:v>Tirol</c:v>
                </c:pt>
                <c:pt idx="2">
                  <c:v>Wien</c:v>
                </c:pt>
                <c:pt idx="3">
                  <c:v>Niederösterreich</c:v>
                </c:pt>
                <c:pt idx="4">
                  <c:v>Kärnten</c:v>
                </c:pt>
                <c:pt idx="5">
                  <c:v>Vorarlberg</c:v>
                </c:pt>
                <c:pt idx="6">
                  <c:v>Steiermark</c:v>
                </c:pt>
                <c:pt idx="7">
                  <c:v>Oberösterreich</c:v>
                </c:pt>
                <c:pt idx="8">
                  <c:v>Österreich</c:v>
                </c:pt>
              </c:strCache>
            </c:strRef>
          </c:cat>
          <c:val>
            <c:numRef>
              <c:f>' Industrieproduktion'!$T$52:$T$60</c:f>
              <c:numCache>
                <c:formatCode>#,##0</c:formatCode>
                <c:ptCount val="9"/>
                <c:pt idx="0">
                  <c:v>12570</c:v>
                </c:pt>
                <c:pt idx="1">
                  <c:v>17546</c:v>
                </c:pt>
                <c:pt idx="2">
                  <c:v>35643</c:v>
                </c:pt>
                <c:pt idx="3">
                  <c:v>22356</c:v>
                </c:pt>
                <c:pt idx="4">
                  <c:v>24372</c:v>
                </c:pt>
                <c:pt idx="5">
                  <c:v>26206</c:v>
                </c:pt>
                <c:pt idx="6">
                  <c:v>26130</c:v>
                </c:pt>
                <c:pt idx="7">
                  <c:v>35404</c:v>
                </c:pt>
                <c:pt idx="8">
                  <c:v>26875</c:v>
                </c:pt>
              </c:numCache>
            </c:numRef>
          </c:val>
          <c:extLst>
            <c:ext xmlns:c16="http://schemas.microsoft.com/office/drawing/2014/chart" uri="{C3380CC4-5D6E-409C-BE32-E72D297353CC}">
              <c16:uniqueId val="{00000000-FF2A-4E20-8E6A-F42446628C38}"/>
            </c:ext>
          </c:extLst>
        </c:ser>
        <c:ser>
          <c:idx val="7"/>
          <c:order val="7"/>
          <c:tx>
            <c:strRef>
              <c:f>' Industrieproduktion'!$U$49</c:f>
              <c:strCache>
                <c:ptCount val="1"/>
                <c:pt idx="0">
                  <c:v>2023</c:v>
                </c:pt>
              </c:strCache>
            </c:strRef>
          </c:tx>
          <c:spPr>
            <a:solidFill>
              <a:srgbClr val="FF0000"/>
            </a:solidFill>
          </c:spPr>
          <c:invertIfNegative val="0"/>
          <c:cat>
            <c:strRef>
              <c:f>' Industrieproduktion'!$L$52:$M$60</c:f>
              <c:strCache>
                <c:ptCount val="9"/>
                <c:pt idx="0">
                  <c:v>Salzburg</c:v>
                </c:pt>
                <c:pt idx="1">
                  <c:v>Tirol</c:v>
                </c:pt>
                <c:pt idx="2">
                  <c:v>Wien</c:v>
                </c:pt>
                <c:pt idx="3">
                  <c:v>Niederösterreich</c:v>
                </c:pt>
                <c:pt idx="4">
                  <c:v>Kärnten</c:v>
                </c:pt>
                <c:pt idx="5">
                  <c:v>Vorarlberg</c:v>
                </c:pt>
                <c:pt idx="6">
                  <c:v>Steiermark</c:v>
                </c:pt>
                <c:pt idx="7">
                  <c:v>Oberösterreich</c:v>
                </c:pt>
                <c:pt idx="8">
                  <c:v>Österreich</c:v>
                </c:pt>
              </c:strCache>
            </c:strRef>
          </c:cat>
          <c:val>
            <c:numRef>
              <c:f>' Industrieproduktion'!$U$52:$U$60</c:f>
              <c:numCache>
                <c:formatCode>#,##0</c:formatCode>
                <c:ptCount val="9"/>
                <c:pt idx="0">
                  <c:v>13100</c:v>
                </c:pt>
                <c:pt idx="1">
                  <c:v>16888</c:v>
                </c:pt>
                <c:pt idx="2">
                  <c:v>19698</c:v>
                </c:pt>
                <c:pt idx="3">
                  <c:v>21494</c:v>
                </c:pt>
                <c:pt idx="4">
                  <c:v>23423</c:v>
                </c:pt>
                <c:pt idx="5">
                  <c:v>24743</c:v>
                </c:pt>
                <c:pt idx="6">
                  <c:v>25498</c:v>
                </c:pt>
                <c:pt idx="7">
                  <c:v>34099</c:v>
                </c:pt>
                <c:pt idx="8">
                  <c:v>22828</c:v>
                </c:pt>
              </c:numCache>
            </c:numRef>
          </c:val>
          <c:extLst>
            <c:ext xmlns:c16="http://schemas.microsoft.com/office/drawing/2014/chart" uri="{C3380CC4-5D6E-409C-BE32-E72D297353CC}">
              <c16:uniqueId val="{00000000-6BFC-4120-A9C8-8504C7D88717}"/>
            </c:ext>
          </c:extLst>
        </c:ser>
        <c:dLbls>
          <c:showLegendKey val="0"/>
          <c:showVal val="0"/>
          <c:showCatName val="0"/>
          <c:showSerName val="0"/>
          <c:showPercent val="0"/>
          <c:showBubbleSize val="0"/>
        </c:dLbls>
        <c:gapWidth val="150"/>
        <c:axId val="119543296"/>
        <c:axId val="119544832"/>
        <c:extLst/>
      </c:barChart>
      <c:catAx>
        <c:axId val="119543296"/>
        <c:scaling>
          <c:orientation val="minMax"/>
        </c:scaling>
        <c:delete val="0"/>
        <c:axPos val="l"/>
        <c:numFmt formatCode="General" sourceLinked="0"/>
        <c:majorTickMark val="out"/>
        <c:minorTickMark val="none"/>
        <c:tickLblPos val="nextTo"/>
        <c:crossAx val="119544832"/>
        <c:crosses val="autoZero"/>
        <c:auto val="1"/>
        <c:lblAlgn val="ctr"/>
        <c:lblOffset val="100"/>
        <c:noMultiLvlLbl val="0"/>
      </c:catAx>
      <c:valAx>
        <c:axId val="119544832"/>
        <c:scaling>
          <c:orientation val="minMax"/>
        </c:scaling>
        <c:delete val="0"/>
        <c:axPos val="b"/>
        <c:majorGridlines/>
        <c:numFmt formatCode="#,##0" sourceLinked="1"/>
        <c:majorTickMark val="out"/>
        <c:minorTickMark val="none"/>
        <c:tickLblPos val="nextTo"/>
        <c:crossAx val="119543296"/>
        <c:crosses val="autoZero"/>
        <c:crossBetween val="between"/>
      </c:valAx>
    </c:plotArea>
    <c:legend>
      <c:legendPos val="r"/>
      <c:overlay val="0"/>
    </c:legend>
    <c:plotVisOnly val="1"/>
    <c:dispBlanksAs val="gap"/>
    <c:showDLblsOverMax val="0"/>
  </c:chart>
  <c:spPr>
    <a:ln>
      <a:solidFill>
        <a:schemeClr val="tx1">
          <a:lumMod val="95000"/>
          <a:lumOff val="5000"/>
        </a:schemeClr>
      </a:solidFill>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05E-2"/>
          <c:y val="6.9919072615923006E-2"/>
          <c:w val="0.71192716535433098"/>
          <c:h val="0.81410104986876597"/>
        </c:manualLayout>
      </c:layout>
      <c:lineChart>
        <c:grouping val="standard"/>
        <c:varyColors val="0"/>
        <c:ser>
          <c:idx val="0"/>
          <c:order val="0"/>
          <c:tx>
            <c:strRef>
              <c:f>'Erwerbstätige n Alter'!$I$50</c:f>
              <c:strCache>
                <c:ptCount val="1"/>
                <c:pt idx="0">
                  <c:v>Beschäftigte</c:v>
                </c:pt>
              </c:strCache>
            </c:strRef>
          </c:tx>
          <c:spPr>
            <a:ln>
              <a:solidFill>
                <a:schemeClr val="tx1">
                  <a:lumMod val="65000"/>
                  <a:lumOff val="35000"/>
                </a:schemeClr>
              </a:solidFill>
            </a:ln>
          </c:spPr>
          <c:marker>
            <c:symbol val="none"/>
          </c:marker>
          <c:cat>
            <c:numRef>
              <c:f>'Erwerbstätige n Alter'!$H$52:$H$65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'Erwerbstätige n Alter'!$I$52:$I$65</c:f>
              <c:numCache>
                <c:formatCode>0.0</c:formatCode>
                <c:ptCount val="14"/>
                <c:pt idx="0">
                  <c:v>100.1</c:v>
                </c:pt>
                <c:pt idx="1">
                  <c:v>102.3</c:v>
                </c:pt>
                <c:pt idx="2">
                  <c:v>103.8</c:v>
                </c:pt>
                <c:pt idx="3">
                  <c:v>105.1</c:v>
                </c:pt>
                <c:pt idx="4">
                  <c:v>106.8</c:v>
                </c:pt>
                <c:pt idx="5">
                  <c:v>108.6</c:v>
                </c:pt>
                <c:pt idx="6">
                  <c:v>110.5</c:v>
                </c:pt>
                <c:pt idx="7">
                  <c:v>112.6</c:v>
                </c:pt>
                <c:pt idx="8">
                  <c:v>115.3</c:v>
                </c:pt>
                <c:pt idx="9" formatCode="General">
                  <c:v>116.8</c:v>
                </c:pt>
                <c:pt idx="10" formatCode="General">
                  <c:v>114.4</c:v>
                </c:pt>
                <c:pt idx="11">
                  <c:v>116</c:v>
                </c:pt>
                <c:pt idx="12" formatCode="General">
                  <c:v>119.1</c:v>
                </c:pt>
                <c:pt idx="13" formatCode="General">
                  <c:v>119.8</c:v>
                </c:pt>
              </c:numCache>
            </c:numRef>
          </c:val>
          <c:smooth val="0"/>
          <c:extLst>
            <c:ext xmlns:c16="http://schemas.microsoft.com/office/drawing/2014/chart" uri="{C3380CC4-5D6E-409C-BE32-E72D297353CC}">
              <c16:uniqueId val="{00000000-C213-4D7F-9C8D-F2C8C9DCB138}"/>
            </c:ext>
          </c:extLst>
        </c:ser>
        <c:ser>
          <c:idx val="1"/>
          <c:order val="1"/>
          <c:tx>
            <c:strRef>
              <c:f>'Erwerbstätige n Alter'!$J$50</c:f>
              <c:strCache>
                <c:ptCount val="1"/>
                <c:pt idx="0">
                  <c:v>Bevölkerung</c:v>
                </c:pt>
              </c:strCache>
            </c:strRef>
          </c:tx>
          <c:spPr>
            <a:ln>
              <a:solidFill>
                <a:srgbClr val="FF0000"/>
              </a:solidFill>
            </a:ln>
          </c:spPr>
          <c:marker>
            <c:symbol val="none"/>
          </c:marker>
          <c:cat>
            <c:numRef>
              <c:f>'Erwerbstätige n Alter'!$H$52:$H$65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'Erwerbstätige n Alter'!$J$52:$J$65</c:f>
              <c:numCache>
                <c:formatCode>0.0</c:formatCode>
                <c:ptCount val="14"/>
                <c:pt idx="0">
                  <c:v>100.7</c:v>
                </c:pt>
                <c:pt idx="1">
                  <c:v>101</c:v>
                </c:pt>
                <c:pt idx="2">
                  <c:v>101.4</c:v>
                </c:pt>
                <c:pt idx="3">
                  <c:v>102</c:v>
                </c:pt>
                <c:pt idx="4">
                  <c:v>103.3</c:v>
                </c:pt>
                <c:pt idx="5">
                  <c:v>104.4</c:v>
                </c:pt>
                <c:pt idx="6">
                  <c:v>105.9</c:v>
                </c:pt>
                <c:pt idx="7">
                  <c:v>106.8</c:v>
                </c:pt>
                <c:pt idx="8">
                  <c:v>107.6</c:v>
                </c:pt>
                <c:pt idx="9" formatCode="General">
                  <c:v>108.4</c:v>
                </c:pt>
                <c:pt idx="10">
                  <c:v>109</c:v>
                </c:pt>
                <c:pt idx="11">
                  <c:v>109.6</c:v>
                </c:pt>
                <c:pt idx="12" formatCode="General">
                  <c:v>110.7</c:v>
                </c:pt>
                <c:pt idx="13" formatCode="General">
                  <c:v>111.7</c:v>
                </c:pt>
              </c:numCache>
            </c:numRef>
          </c:val>
          <c:smooth val="0"/>
          <c:extLst>
            <c:ext xmlns:c16="http://schemas.microsoft.com/office/drawing/2014/chart" uri="{C3380CC4-5D6E-409C-BE32-E72D297353CC}">
              <c16:uniqueId val="{00000001-C213-4D7F-9C8D-F2C8C9DCB138}"/>
            </c:ext>
          </c:extLst>
        </c:ser>
        <c:dLbls>
          <c:showLegendKey val="0"/>
          <c:showVal val="0"/>
          <c:showCatName val="0"/>
          <c:showSerName val="0"/>
          <c:showPercent val="0"/>
          <c:showBubbleSize val="0"/>
        </c:dLbls>
        <c:smooth val="0"/>
        <c:axId val="105169280"/>
        <c:axId val="105170816"/>
      </c:lineChart>
      <c:catAx>
        <c:axId val="105169280"/>
        <c:scaling>
          <c:orientation val="minMax"/>
        </c:scaling>
        <c:delete val="0"/>
        <c:axPos val="b"/>
        <c:numFmt formatCode="General" sourceLinked="1"/>
        <c:majorTickMark val="out"/>
        <c:minorTickMark val="none"/>
        <c:tickLblPos val="nextTo"/>
        <c:txPr>
          <a:bodyPr/>
          <a:lstStyle/>
          <a:p>
            <a:pPr>
              <a:defRPr>
                <a:solidFill>
                  <a:sysClr val="windowText" lastClr="000000"/>
                </a:solidFill>
              </a:defRPr>
            </a:pPr>
            <a:endParaRPr lang="de-DE"/>
          </a:p>
        </c:txPr>
        <c:crossAx val="105170816"/>
        <c:crosses val="autoZero"/>
        <c:auto val="1"/>
        <c:lblAlgn val="ctr"/>
        <c:lblOffset val="100"/>
        <c:noMultiLvlLbl val="0"/>
      </c:catAx>
      <c:valAx>
        <c:axId val="105170816"/>
        <c:scaling>
          <c:orientation val="minMax"/>
        </c:scaling>
        <c:delete val="0"/>
        <c:axPos val="l"/>
        <c:majorGridlines/>
        <c:numFmt formatCode="0.0" sourceLinked="1"/>
        <c:majorTickMark val="out"/>
        <c:minorTickMark val="none"/>
        <c:tickLblPos val="nextTo"/>
        <c:txPr>
          <a:bodyPr/>
          <a:lstStyle/>
          <a:p>
            <a:pPr>
              <a:defRPr>
                <a:solidFill>
                  <a:sysClr val="windowText" lastClr="000000"/>
                </a:solidFill>
              </a:defRPr>
            </a:pPr>
            <a:endParaRPr lang="de-DE"/>
          </a:p>
        </c:txPr>
        <c:crossAx val="105169280"/>
        <c:crosses val="autoZero"/>
        <c:crossBetween val="between"/>
      </c:valAx>
    </c:plotArea>
    <c:legend>
      <c:legendPos val="r"/>
      <c:legendEntry>
        <c:idx val="0"/>
        <c:txPr>
          <a:bodyPr/>
          <a:lstStyle/>
          <a:p>
            <a:pPr>
              <a:defRPr>
                <a:solidFill>
                  <a:sysClr val="windowText" lastClr="000000"/>
                </a:solidFill>
              </a:defRPr>
            </a:pPr>
            <a:endParaRPr lang="de-DE"/>
          </a:p>
        </c:txPr>
      </c:legendEntry>
      <c:legendEntry>
        <c:idx val="1"/>
        <c:txPr>
          <a:bodyPr/>
          <a:lstStyle/>
          <a:p>
            <a:pPr>
              <a:defRPr>
                <a:solidFill>
                  <a:sysClr val="windowText" lastClr="000000"/>
                </a:solidFill>
              </a:defRPr>
            </a:pPr>
            <a:endParaRPr lang="de-DE"/>
          </a:p>
        </c:txPr>
      </c:legendEntry>
      <c:overlay val="0"/>
    </c:legend>
    <c:plotVisOnly val="1"/>
    <c:dispBlanksAs val="gap"/>
    <c:showDLblsOverMax val="0"/>
  </c:chart>
  <c:txPr>
    <a:bodyPr/>
    <a:lstStyle/>
    <a:p>
      <a:pPr>
        <a:defRPr>
          <a:solidFill>
            <a:srgbClr val="FF0000"/>
          </a:solidFill>
        </a:defRPr>
      </a:pPr>
      <a:endParaRPr lang="de-DE"/>
    </a:p>
  </c:txPr>
  <c:printSettings>
    <c:headerFooter/>
    <c:pageMargins b="0.78740157499999996" l="0.7" r="0.7" t="0.78740157499999996"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Ind.Beschäftigte/1000 EW</c:v>
          </c:tx>
          <c:spPr>
            <a:solidFill>
              <a:srgbClr val="FF0000"/>
            </a:solidFill>
          </c:spPr>
          <c:invertIfNegative val="0"/>
          <c:cat>
            <c:strRef>
              <c:f>'Industriebesch Bdl je 1000 EW'!$I$7:$I$15</c:f>
              <c:strCache>
                <c:ptCount val="9"/>
                <c:pt idx="0">
                  <c:v>Oberösterreich</c:v>
                </c:pt>
                <c:pt idx="1">
                  <c:v>Vorarlberg</c:v>
                </c:pt>
                <c:pt idx="2">
                  <c:v>Steiermark</c:v>
                </c:pt>
                <c:pt idx="3">
                  <c:v>Kärnten</c:v>
                </c:pt>
                <c:pt idx="4">
                  <c:v>Tirol</c:v>
                </c:pt>
                <c:pt idx="5">
                  <c:v>Niederösterreich</c:v>
                </c:pt>
                <c:pt idx="6">
                  <c:v>Salzburg</c:v>
                </c:pt>
                <c:pt idx="7">
                  <c:v>Burgenland</c:v>
                </c:pt>
                <c:pt idx="8">
                  <c:v>Wien</c:v>
                </c:pt>
              </c:strCache>
            </c:strRef>
          </c:cat>
          <c:val>
            <c:numRef>
              <c:f>'Industriebesch Bdl je 1000 EW'!$J$7:$J$15</c:f>
              <c:numCache>
                <c:formatCode>#,##0</c:formatCode>
                <c:ptCount val="9"/>
                <c:pt idx="0">
                  <c:v>77</c:v>
                </c:pt>
                <c:pt idx="1">
                  <c:v>75</c:v>
                </c:pt>
                <c:pt idx="2">
                  <c:v>62</c:v>
                </c:pt>
                <c:pt idx="3">
                  <c:v>46</c:v>
                </c:pt>
                <c:pt idx="4">
                  <c:v>44</c:v>
                </c:pt>
                <c:pt idx="5">
                  <c:v>40</c:v>
                </c:pt>
                <c:pt idx="6">
                  <c:v>31</c:v>
                </c:pt>
                <c:pt idx="7">
                  <c:v>24</c:v>
                </c:pt>
                <c:pt idx="8">
                  <c:v>17</c:v>
                </c:pt>
              </c:numCache>
            </c:numRef>
          </c:val>
          <c:extLst>
            <c:ext xmlns:c16="http://schemas.microsoft.com/office/drawing/2014/chart" uri="{C3380CC4-5D6E-409C-BE32-E72D297353CC}">
              <c16:uniqueId val="{00000000-201A-4D09-BFBC-EBDBB8418354}"/>
            </c:ext>
          </c:extLst>
        </c:ser>
        <c:dLbls>
          <c:showLegendKey val="0"/>
          <c:showVal val="0"/>
          <c:showCatName val="0"/>
          <c:showSerName val="0"/>
          <c:showPercent val="0"/>
          <c:showBubbleSize val="0"/>
        </c:dLbls>
        <c:gapWidth val="150"/>
        <c:axId val="120107008"/>
        <c:axId val="120108544"/>
      </c:barChart>
      <c:catAx>
        <c:axId val="120107008"/>
        <c:scaling>
          <c:orientation val="minMax"/>
        </c:scaling>
        <c:delete val="0"/>
        <c:axPos val="b"/>
        <c:numFmt formatCode="General" sourceLinked="0"/>
        <c:majorTickMark val="out"/>
        <c:minorTickMark val="none"/>
        <c:tickLblPos val="nextTo"/>
        <c:crossAx val="120108544"/>
        <c:crosses val="autoZero"/>
        <c:auto val="1"/>
        <c:lblAlgn val="ctr"/>
        <c:lblOffset val="100"/>
        <c:noMultiLvlLbl val="0"/>
      </c:catAx>
      <c:valAx>
        <c:axId val="120108544"/>
        <c:scaling>
          <c:orientation val="minMax"/>
        </c:scaling>
        <c:delete val="0"/>
        <c:axPos val="l"/>
        <c:majorGridlines/>
        <c:numFmt formatCode="#,##0" sourceLinked="1"/>
        <c:majorTickMark val="out"/>
        <c:minorTickMark val="none"/>
        <c:tickLblPos val="nextTo"/>
        <c:crossAx val="120107008"/>
        <c:crosses val="autoZero"/>
        <c:crossBetween val="between"/>
      </c:valAx>
    </c:plotArea>
    <c:legend>
      <c:legendPos val="r"/>
      <c:layout>
        <c:manualLayout>
          <c:xMode val="edge"/>
          <c:yMode val="edge"/>
          <c:x val="0.64700086349141206"/>
          <c:y val="0.52864916885389324"/>
          <c:w val="0.3339980507322578"/>
          <c:h val="8.0368503937007868E-2"/>
        </c:manualLayout>
      </c:layout>
      <c:overlay val="0"/>
    </c:legend>
    <c:plotVisOnly val="1"/>
    <c:dispBlanksAs val="gap"/>
    <c:showDLblsOverMax val="0"/>
  </c:chart>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Gewerbeproduktion!$D$47</c:f>
              <c:strCache>
                <c:ptCount val="1"/>
                <c:pt idx="0">
                  <c:v>2013</c:v>
                </c:pt>
              </c:strCache>
            </c:strRef>
          </c:tx>
          <c:spPr>
            <a:solidFill>
              <a:schemeClr val="bg1">
                <a:lumMod val="85000"/>
              </a:schemeClr>
            </a:solidFill>
          </c:spPr>
          <c:invertIfNegative val="0"/>
          <c:cat>
            <c:strRef>
              <c:f>Gewerbeproduktion!$A$48:$C$57</c:f>
              <c:strCache>
                <c:ptCount val="10"/>
                <c:pt idx="0">
                  <c:v>Burgenland</c:v>
                </c:pt>
                <c:pt idx="1">
                  <c:v>Tirol</c:v>
                </c:pt>
                <c:pt idx="2">
                  <c:v>Niederösterreich</c:v>
                </c:pt>
                <c:pt idx="3">
                  <c:v>Wien</c:v>
                </c:pt>
                <c:pt idx="4">
                  <c:v>Vorarlberg</c:v>
                </c:pt>
                <c:pt idx="5">
                  <c:v>Steiermark</c:v>
                </c:pt>
                <c:pt idx="6">
                  <c:v>Kärnten</c:v>
                </c:pt>
                <c:pt idx="7">
                  <c:v>Oberösterreich</c:v>
                </c:pt>
                <c:pt idx="8">
                  <c:v>Salzburg</c:v>
                </c:pt>
                <c:pt idx="9">
                  <c:v>Österreich</c:v>
                </c:pt>
              </c:strCache>
            </c:strRef>
          </c:cat>
          <c:val>
            <c:numRef>
              <c:f>Gewerbeproduktion!$D$48:$D$57</c:f>
              <c:numCache>
                <c:formatCode>#,##0</c:formatCode>
                <c:ptCount val="10"/>
                <c:pt idx="0">
                  <c:v>147381</c:v>
                </c:pt>
                <c:pt idx="1">
                  <c:v>148831</c:v>
                </c:pt>
                <c:pt idx="2">
                  <c:v>144008</c:v>
                </c:pt>
                <c:pt idx="3">
                  <c:v>159153</c:v>
                </c:pt>
                <c:pt idx="4">
                  <c:v>161375</c:v>
                </c:pt>
                <c:pt idx="5">
                  <c:v>154317</c:v>
                </c:pt>
                <c:pt idx="6">
                  <c:v>155995</c:v>
                </c:pt>
                <c:pt idx="7">
                  <c:v>169365</c:v>
                </c:pt>
                <c:pt idx="8">
                  <c:v>158214</c:v>
                </c:pt>
                <c:pt idx="9">
                  <c:v>157302</c:v>
                </c:pt>
              </c:numCache>
            </c:numRef>
          </c:val>
          <c:extLst>
            <c:ext xmlns:c16="http://schemas.microsoft.com/office/drawing/2014/chart" uri="{C3380CC4-5D6E-409C-BE32-E72D297353CC}">
              <c16:uniqueId val="{00000000-6A38-49E8-8456-26B97EB24129}"/>
            </c:ext>
          </c:extLst>
        </c:ser>
        <c:ser>
          <c:idx val="1"/>
          <c:order val="1"/>
          <c:tx>
            <c:strRef>
              <c:f>Gewerbeproduktion!$E$47</c:f>
              <c:strCache>
                <c:ptCount val="1"/>
                <c:pt idx="0">
                  <c:v>2016</c:v>
                </c:pt>
              </c:strCache>
            </c:strRef>
          </c:tx>
          <c:spPr>
            <a:solidFill>
              <a:schemeClr val="bg1">
                <a:lumMod val="65000"/>
              </a:schemeClr>
            </a:solidFill>
          </c:spPr>
          <c:invertIfNegative val="0"/>
          <c:cat>
            <c:strRef>
              <c:f>Gewerbeproduktion!$A$48:$C$57</c:f>
              <c:strCache>
                <c:ptCount val="10"/>
                <c:pt idx="0">
                  <c:v>Burgenland</c:v>
                </c:pt>
                <c:pt idx="1">
                  <c:v>Tirol</c:v>
                </c:pt>
                <c:pt idx="2">
                  <c:v>Niederösterreich</c:v>
                </c:pt>
                <c:pt idx="3">
                  <c:v>Wien</c:v>
                </c:pt>
                <c:pt idx="4">
                  <c:v>Vorarlberg</c:v>
                </c:pt>
                <c:pt idx="5">
                  <c:v>Steiermark</c:v>
                </c:pt>
                <c:pt idx="6">
                  <c:v>Kärnten</c:v>
                </c:pt>
                <c:pt idx="7">
                  <c:v>Oberösterreich</c:v>
                </c:pt>
                <c:pt idx="8">
                  <c:v>Salzburg</c:v>
                </c:pt>
                <c:pt idx="9">
                  <c:v>Österreich</c:v>
                </c:pt>
              </c:strCache>
            </c:strRef>
          </c:cat>
          <c:val>
            <c:numRef>
              <c:f>Gewerbeproduktion!$E$48:$E$57</c:f>
              <c:numCache>
                <c:formatCode>#,##0</c:formatCode>
                <c:ptCount val="10"/>
                <c:pt idx="0">
                  <c:v>143987</c:v>
                </c:pt>
                <c:pt idx="1">
                  <c:v>163755</c:v>
                </c:pt>
                <c:pt idx="2">
                  <c:v>150812</c:v>
                </c:pt>
                <c:pt idx="3">
                  <c:v>167524</c:v>
                </c:pt>
                <c:pt idx="4">
                  <c:v>169943</c:v>
                </c:pt>
                <c:pt idx="5">
                  <c:v>172199</c:v>
                </c:pt>
                <c:pt idx="6">
                  <c:v>166854</c:v>
                </c:pt>
                <c:pt idx="7">
                  <c:v>179977</c:v>
                </c:pt>
                <c:pt idx="8">
                  <c:v>178872</c:v>
                </c:pt>
                <c:pt idx="9">
                  <c:v>168935</c:v>
                </c:pt>
              </c:numCache>
            </c:numRef>
          </c:val>
          <c:extLst>
            <c:ext xmlns:c16="http://schemas.microsoft.com/office/drawing/2014/chart" uri="{C3380CC4-5D6E-409C-BE32-E72D297353CC}">
              <c16:uniqueId val="{00000001-6A38-49E8-8456-26B97EB24129}"/>
            </c:ext>
          </c:extLst>
        </c:ser>
        <c:ser>
          <c:idx val="2"/>
          <c:order val="2"/>
          <c:tx>
            <c:strRef>
              <c:f>Gewerbeproduktion!$F$47</c:f>
              <c:strCache>
                <c:ptCount val="1"/>
                <c:pt idx="0">
                  <c:v>2020</c:v>
                </c:pt>
              </c:strCache>
            </c:strRef>
          </c:tx>
          <c:spPr>
            <a:solidFill>
              <a:schemeClr val="tx1">
                <a:lumMod val="50000"/>
                <a:lumOff val="50000"/>
              </a:schemeClr>
            </a:solidFill>
          </c:spPr>
          <c:invertIfNegative val="0"/>
          <c:cat>
            <c:strRef>
              <c:f>Gewerbeproduktion!$A$48:$C$57</c:f>
              <c:strCache>
                <c:ptCount val="10"/>
                <c:pt idx="0">
                  <c:v>Burgenland</c:v>
                </c:pt>
                <c:pt idx="1">
                  <c:v>Tirol</c:v>
                </c:pt>
                <c:pt idx="2">
                  <c:v>Niederösterreich</c:v>
                </c:pt>
                <c:pt idx="3">
                  <c:v>Wien</c:v>
                </c:pt>
                <c:pt idx="4">
                  <c:v>Vorarlberg</c:v>
                </c:pt>
                <c:pt idx="5">
                  <c:v>Steiermark</c:v>
                </c:pt>
                <c:pt idx="6">
                  <c:v>Kärnten</c:v>
                </c:pt>
                <c:pt idx="7">
                  <c:v>Oberösterreich</c:v>
                </c:pt>
                <c:pt idx="8">
                  <c:v>Salzburg</c:v>
                </c:pt>
                <c:pt idx="9">
                  <c:v>Österreich</c:v>
                </c:pt>
              </c:strCache>
            </c:strRef>
          </c:cat>
          <c:val>
            <c:numRef>
              <c:f>Gewerbeproduktion!$F$48:$F$57</c:f>
              <c:numCache>
                <c:formatCode>#,##0</c:formatCode>
                <c:ptCount val="10"/>
                <c:pt idx="0">
                  <c:v>145047</c:v>
                </c:pt>
                <c:pt idx="1">
                  <c:v>165068</c:v>
                </c:pt>
                <c:pt idx="2">
                  <c:v>162250</c:v>
                </c:pt>
                <c:pt idx="3">
                  <c:v>169746</c:v>
                </c:pt>
                <c:pt idx="4">
                  <c:v>166891</c:v>
                </c:pt>
                <c:pt idx="5">
                  <c:v>183168</c:v>
                </c:pt>
                <c:pt idx="6">
                  <c:v>182835</c:v>
                </c:pt>
                <c:pt idx="7">
                  <c:v>190977</c:v>
                </c:pt>
                <c:pt idx="8">
                  <c:v>184048</c:v>
                </c:pt>
                <c:pt idx="9">
                  <c:v>176536</c:v>
                </c:pt>
              </c:numCache>
            </c:numRef>
          </c:val>
          <c:extLst>
            <c:ext xmlns:c16="http://schemas.microsoft.com/office/drawing/2014/chart" uri="{C3380CC4-5D6E-409C-BE32-E72D297353CC}">
              <c16:uniqueId val="{00000002-6A38-49E8-8456-26B97EB24129}"/>
            </c:ext>
          </c:extLst>
        </c:ser>
        <c:ser>
          <c:idx val="3"/>
          <c:order val="3"/>
          <c:tx>
            <c:strRef>
              <c:f>Gewerbeproduktion!$G$47</c:f>
              <c:strCache>
                <c:ptCount val="1"/>
                <c:pt idx="0">
                  <c:v>2021</c:v>
                </c:pt>
              </c:strCache>
            </c:strRef>
          </c:tx>
          <c:spPr>
            <a:solidFill>
              <a:schemeClr val="tx1">
                <a:lumMod val="75000"/>
                <a:lumOff val="25000"/>
              </a:schemeClr>
            </a:solidFill>
          </c:spPr>
          <c:invertIfNegative val="0"/>
          <c:cat>
            <c:strRef>
              <c:f>Gewerbeproduktion!$A$48:$C$57</c:f>
              <c:strCache>
                <c:ptCount val="10"/>
                <c:pt idx="0">
                  <c:v>Burgenland</c:v>
                </c:pt>
                <c:pt idx="1">
                  <c:v>Tirol</c:v>
                </c:pt>
                <c:pt idx="2">
                  <c:v>Niederösterreich</c:v>
                </c:pt>
                <c:pt idx="3">
                  <c:v>Wien</c:v>
                </c:pt>
                <c:pt idx="4">
                  <c:v>Vorarlberg</c:v>
                </c:pt>
                <c:pt idx="5">
                  <c:v>Steiermark</c:v>
                </c:pt>
                <c:pt idx="6">
                  <c:v>Kärnten</c:v>
                </c:pt>
                <c:pt idx="7">
                  <c:v>Oberösterreich</c:v>
                </c:pt>
                <c:pt idx="8">
                  <c:v>Salzburg</c:v>
                </c:pt>
                <c:pt idx="9">
                  <c:v>Österreich</c:v>
                </c:pt>
              </c:strCache>
            </c:strRef>
          </c:cat>
          <c:val>
            <c:numRef>
              <c:f>Gewerbeproduktion!$G$48:$G$57</c:f>
              <c:numCache>
                <c:formatCode>#,##0</c:formatCode>
                <c:ptCount val="10"/>
                <c:pt idx="0">
                  <c:v>158271</c:v>
                </c:pt>
                <c:pt idx="1">
                  <c:v>189181</c:v>
                </c:pt>
                <c:pt idx="2">
                  <c:v>179663</c:v>
                </c:pt>
                <c:pt idx="3">
                  <c:v>187423</c:v>
                </c:pt>
                <c:pt idx="4">
                  <c:v>188575</c:v>
                </c:pt>
                <c:pt idx="5">
                  <c:v>202809</c:v>
                </c:pt>
                <c:pt idx="6">
                  <c:v>203229</c:v>
                </c:pt>
                <c:pt idx="7">
                  <c:v>215911</c:v>
                </c:pt>
                <c:pt idx="8">
                  <c:v>202328</c:v>
                </c:pt>
                <c:pt idx="9">
                  <c:v>197116</c:v>
                </c:pt>
              </c:numCache>
            </c:numRef>
          </c:val>
          <c:extLst>
            <c:ext xmlns:c16="http://schemas.microsoft.com/office/drawing/2014/chart" uri="{C3380CC4-5D6E-409C-BE32-E72D297353CC}">
              <c16:uniqueId val="{00000003-6A38-49E8-8456-26B97EB24129}"/>
            </c:ext>
          </c:extLst>
        </c:ser>
        <c:ser>
          <c:idx val="4"/>
          <c:order val="4"/>
          <c:tx>
            <c:strRef>
              <c:f>Gewerbeproduktion!$I$47</c:f>
              <c:strCache>
                <c:ptCount val="1"/>
                <c:pt idx="0">
                  <c:v>2023</c:v>
                </c:pt>
              </c:strCache>
            </c:strRef>
          </c:tx>
          <c:spPr>
            <a:solidFill>
              <a:srgbClr val="FF0000"/>
            </a:solidFill>
          </c:spPr>
          <c:invertIfNegative val="0"/>
          <c:cat>
            <c:strRef>
              <c:f>Gewerbeproduktion!$A$48:$C$57</c:f>
              <c:strCache>
                <c:ptCount val="10"/>
                <c:pt idx="0">
                  <c:v>Burgenland</c:v>
                </c:pt>
                <c:pt idx="1">
                  <c:v>Tirol</c:v>
                </c:pt>
                <c:pt idx="2">
                  <c:v>Niederösterreich</c:v>
                </c:pt>
                <c:pt idx="3">
                  <c:v>Wien</c:v>
                </c:pt>
                <c:pt idx="4">
                  <c:v>Vorarlberg</c:v>
                </c:pt>
                <c:pt idx="5">
                  <c:v>Steiermark</c:v>
                </c:pt>
                <c:pt idx="6">
                  <c:v>Kärnten</c:v>
                </c:pt>
                <c:pt idx="7">
                  <c:v>Oberösterreich</c:v>
                </c:pt>
                <c:pt idx="8">
                  <c:v>Salzburg</c:v>
                </c:pt>
                <c:pt idx="9">
                  <c:v>Österreich</c:v>
                </c:pt>
              </c:strCache>
            </c:strRef>
          </c:cat>
          <c:val>
            <c:numRef>
              <c:f>Gewerbeproduktion!$I$48:$I$57</c:f>
              <c:numCache>
                <c:formatCode>#,##0</c:formatCode>
                <c:ptCount val="10"/>
                <c:pt idx="0">
                  <c:v>180221</c:v>
                </c:pt>
                <c:pt idx="1">
                  <c:v>206622</c:v>
                </c:pt>
                <c:pt idx="2">
                  <c:v>213143</c:v>
                </c:pt>
                <c:pt idx="3">
                  <c:v>215328</c:v>
                </c:pt>
                <c:pt idx="4">
                  <c:v>219019</c:v>
                </c:pt>
                <c:pt idx="5">
                  <c:v>223539</c:v>
                </c:pt>
                <c:pt idx="6">
                  <c:v>238207</c:v>
                </c:pt>
                <c:pt idx="7">
                  <c:v>245504</c:v>
                </c:pt>
                <c:pt idx="8">
                  <c:v>246009</c:v>
                </c:pt>
                <c:pt idx="9">
                  <c:v>225769</c:v>
                </c:pt>
              </c:numCache>
            </c:numRef>
          </c:val>
          <c:extLst>
            <c:ext xmlns:c16="http://schemas.microsoft.com/office/drawing/2014/chart" uri="{C3380CC4-5D6E-409C-BE32-E72D297353CC}">
              <c16:uniqueId val="{00000004-6A38-49E8-8456-26B97EB24129}"/>
            </c:ext>
          </c:extLst>
        </c:ser>
        <c:dLbls>
          <c:showLegendKey val="0"/>
          <c:showVal val="0"/>
          <c:showCatName val="0"/>
          <c:showSerName val="0"/>
          <c:showPercent val="0"/>
          <c:showBubbleSize val="0"/>
        </c:dLbls>
        <c:gapWidth val="150"/>
        <c:axId val="120531968"/>
        <c:axId val="120537856"/>
        <c:extLst>
          <c:ext xmlns:c15="http://schemas.microsoft.com/office/drawing/2012/chart" uri="{02D57815-91ED-43cb-92C2-25804820EDAC}">
            <c15:filteredBarSeries>
              <c15:ser>
                <c:idx val="5"/>
                <c:order val="5"/>
                <c:tx>
                  <c:strRef>
                    <c:extLst>
                      <c:ext uri="{02D57815-91ED-43cb-92C2-25804820EDAC}">
                        <c15:formulaRef>
                          <c15:sqref>Gewerbeproduktion!$H$47</c15:sqref>
                        </c15:formulaRef>
                      </c:ext>
                    </c:extLst>
                    <c:strCache>
                      <c:ptCount val="1"/>
                      <c:pt idx="0">
                        <c:v>2022</c:v>
                      </c:pt>
                    </c:strCache>
                  </c:strRef>
                </c:tx>
                <c:spPr>
                  <a:solidFill>
                    <a:srgbClr val="FF0000"/>
                  </a:solidFill>
                </c:spPr>
                <c:invertIfNegative val="0"/>
                <c:cat>
                  <c:strRef>
                    <c:extLst>
                      <c:ext uri="{02D57815-91ED-43cb-92C2-25804820EDAC}">
                        <c15:formulaRef>
                          <c15:sqref>Gewerbeproduktion!$A$48:$C$57</c15:sqref>
                        </c15:formulaRef>
                      </c:ext>
                    </c:extLst>
                    <c:strCache>
                      <c:ptCount val="10"/>
                      <c:pt idx="0">
                        <c:v>Burgenland</c:v>
                      </c:pt>
                      <c:pt idx="1">
                        <c:v>Tirol</c:v>
                      </c:pt>
                      <c:pt idx="2">
                        <c:v>Niederösterreich</c:v>
                      </c:pt>
                      <c:pt idx="3">
                        <c:v>Wien</c:v>
                      </c:pt>
                      <c:pt idx="4">
                        <c:v>Vorarlberg</c:v>
                      </c:pt>
                      <c:pt idx="5">
                        <c:v>Steiermark</c:v>
                      </c:pt>
                      <c:pt idx="6">
                        <c:v>Kärnten</c:v>
                      </c:pt>
                      <c:pt idx="7">
                        <c:v>Oberösterreich</c:v>
                      </c:pt>
                      <c:pt idx="8">
                        <c:v>Salzburg</c:v>
                      </c:pt>
                      <c:pt idx="9">
                        <c:v>Österreich</c:v>
                      </c:pt>
                    </c:strCache>
                  </c:strRef>
                </c:cat>
                <c:val>
                  <c:numRef>
                    <c:extLst>
                      <c:ext uri="{02D57815-91ED-43cb-92C2-25804820EDAC}">
                        <c15:formulaRef>
                          <c15:sqref>Gewerbeproduktion!$H$48:$H$57</c15:sqref>
                        </c15:formulaRef>
                      </c:ext>
                    </c:extLst>
                    <c:numCache>
                      <c:formatCode>#,##0</c:formatCode>
                      <c:ptCount val="10"/>
                      <c:pt idx="0">
                        <c:v>175478</c:v>
                      </c:pt>
                      <c:pt idx="1">
                        <c:v>200933</c:v>
                      </c:pt>
                      <c:pt idx="2">
                        <c:v>202549</c:v>
                      </c:pt>
                      <c:pt idx="3">
                        <c:v>203238</c:v>
                      </c:pt>
                      <c:pt idx="4">
                        <c:v>208820</c:v>
                      </c:pt>
                      <c:pt idx="5">
                        <c:v>220803</c:v>
                      </c:pt>
                      <c:pt idx="6">
                        <c:v>222547</c:v>
                      </c:pt>
                      <c:pt idx="7">
                        <c:v>239725</c:v>
                      </c:pt>
                      <c:pt idx="8">
                        <c:v>228566</c:v>
                      </c:pt>
                      <c:pt idx="9">
                        <c:v>217388</c:v>
                      </c:pt>
                    </c:numCache>
                  </c:numRef>
                </c:val>
                <c:extLst>
                  <c:ext xmlns:c16="http://schemas.microsoft.com/office/drawing/2014/chart" uri="{C3380CC4-5D6E-409C-BE32-E72D297353CC}">
                    <c16:uniqueId val="{00000000-404E-44C1-90BA-1BF531ACF97C}"/>
                  </c:ext>
                </c:extLst>
              </c15:ser>
            </c15:filteredBarSeries>
          </c:ext>
        </c:extLst>
      </c:barChart>
      <c:catAx>
        <c:axId val="120531968"/>
        <c:scaling>
          <c:orientation val="minMax"/>
        </c:scaling>
        <c:delete val="0"/>
        <c:axPos val="l"/>
        <c:numFmt formatCode="General" sourceLinked="0"/>
        <c:majorTickMark val="out"/>
        <c:minorTickMark val="none"/>
        <c:tickLblPos val="nextTo"/>
        <c:crossAx val="120537856"/>
        <c:crosses val="autoZero"/>
        <c:auto val="1"/>
        <c:lblAlgn val="ctr"/>
        <c:lblOffset val="100"/>
        <c:noMultiLvlLbl val="0"/>
      </c:catAx>
      <c:valAx>
        <c:axId val="120537856"/>
        <c:scaling>
          <c:orientation val="minMax"/>
        </c:scaling>
        <c:delete val="0"/>
        <c:axPos val="b"/>
        <c:majorGridlines/>
        <c:numFmt formatCode="#,##0" sourceLinked="1"/>
        <c:majorTickMark val="out"/>
        <c:minorTickMark val="none"/>
        <c:tickLblPos val="nextTo"/>
        <c:crossAx val="120531968"/>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'Entwicklung Kaufkraft'!$E$43</c:f>
              <c:strCache>
                <c:ptCount val="1"/>
                <c:pt idx="0">
                  <c:v>2023</c:v>
                </c:pt>
              </c:strCache>
            </c:strRef>
          </c:tx>
          <c:spPr>
            <a:solidFill>
              <a:srgbClr val="FF0000"/>
            </a:solidFill>
          </c:spPr>
          <c:invertIfNegative val="0"/>
          <c:dPt>
            <c:idx val="5"/>
            <c:invertIfNegative val="0"/>
            <c:bubble3D val="0"/>
            <c:extLst>
              <c:ext xmlns:c16="http://schemas.microsoft.com/office/drawing/2014/chart" uri="{C3380CC4-5D6E-409C-BE32-E72D297353CC}">
                <c16:uniqueId val="{00000001-9742-4458-B8B5-5D060DFA8C1F}"/>
              </c:ext>
            </c:extLst>
          </c:dPt>
          <c:cat>
            <c:strRef>
              <c:f>'Entwicklung Kaufkraft'!$A$45:$A$53</c:f>
              <c:strCache>
                <c:ptCount val="9"/>
                <c:pt idx="0">
                  <c:v>Kärnten</c:v>
                </c:pt>
                <c:pt idx="1">
                  <c:v>Wien</c:v>
                </c:pt>
                <c:pt idx="2">
                  <c:v>Steiermark</c:v>
                </c:pt>
                <c:pt idx="3">
                  <c:v>Burgenland</c:v>
                </c:pt>
                <c:pt idx="4">
                  <c:v>Tirol</c:v>
                </c:pt>
                <c:pt idx="5">
                  <c:v>Oberösterreich</c:v>
                </c:pt>
                <c:pt idx="6">
                  <c:v>Vorarlberg</c:v>
                </c:pt>
                <c:pt idx="7">
                  <c:v>Salzburg</c:v>
                </c:pt>
                <c:pt idx="8">
                  <c:v>Niederösterreich</c:v>
                </c:pt>
              </c:strCache>
            </c:strRef>
          </c:cat>
          <c:val>
            <c:numRef>
              <c:f>'Entwicklung Kaufkraft'!$E$45:$E$53</c:f>
              <c:numCache>
                <c:formatCode>#,##0</c:formatCode>
                <c:ptCount val="9"/>
                <c:pt idx="0">
                  <c:v>25799</c:v>
                </c:pt>
                <c:pt idx="1">
                  <c:v>26139</c:v>
                </c:pt>
                <c:pt idx="2">
                  <c:v>26278</c:v>
                </c:pt>
                <c:pt idx="3">
                  <c:v>26752</c:v>
                </c:pt>
                <c:pt idx="4">
                  <c:v>26873</c:v>
                </c:pt>
                <c:pt idx="5">
                  <c:v>27649</c:v>
                </c:pt>
                <c:pt idx="6">
                  <c:v>27758</c:v>
                </c:pt>
                <c:pt idx="7">
                  <c:v>28196</c:v>
                </c:pt>
                <c:pt idx="8">
                  <c:v>28271</c:v>
                </c:pt>
              </c:numCache>
            </c:numRef>
          </c:val>
          <c:extLst>
            <c:ext xmlns:c16="http://schemas.microsoft.com/office/drawing/2014/chart" uri="{C3380CC4-5D6E-409C-BE32-E72D297353CC}">
              <c16:uniqueId val="{00000002-9742-4458-B8B5-5D060DFA8C1F}"/>
            </c:ext>
          </c:extLst>
        </c:ser>
        <c:ser>
          <c:idx val="1"/>
          <c:order val="1"/>
          <c:tx>
            <c:strRef>
              <c:f>'Entwicklung Kaufkraft'!$D$43</c:f>
              <c:strCache>
                <c:ptCount val="1"/>
                <c:pt idx="0">
                  <c:v>2022</c:v>
                </c:pt>
              </c:strCache>
            </c:strRef>
          </c:tx>
          <c:spPr>
            <a:solidFill>
              <a:schemeClr val="tx1">
                <a:lumMod val="65000"/>
                <a:lumOff val="35000"/>
              </a:schemeClr>
            </a:solidFill>
            <a:ln>
              <a:solidFill>
                <a:schemeClr val="accent1"/>
              </a:solidFill>
            </a:ln>
          </c:spPr>
          <c:invertIfNegative val="0"/>
          <c:dPt>
            <c:idx val="5"/>
            <c:invertIfNegative val="0"/>
            <c:bubble3D val="0"/>
            <c:extLst>
              <c:ext xmlns:c16="http://schemas.microsoft.com/office/drawing/2014/chart" uri="{C3380CC4-5D6E-409C-BE32-E72D297353CC}">
                <c16:uniqueId val="{00000004-9742-4458-B8B5-5D060DFA8C1F}"/>
              </c:ext>
            </c:extLst>
          </c:dPt>
          <c:cat>
            <c:strRef>
              <c:f>'Entwicklung Kaufkraft'!$A$45:$A$53</c:f>
              <c:strCache>
                <c:ptCount val="9"/>
                <c:pt idx="0">
                  <c:v>Kärnten</c:v>
                </c:pt>
                <c:pt idx="1">
                  <c:v>Wien</c:v>
                </c:pt>
                <c:pt idx="2">
                  <c:v>Steiermark</c:v>
                </c:pt>
                <c:pt idx="3">
                  <c:v>Burgenland</c:v>
                </c:pt>
                <c:pt idx="4">
                  <c:v>Tirol</c:v>
                </c:pt>
                <c:pt idx="5">
                  <c:v>Oberösterreich</c:v>
                </c:pt>
                <c:pt idx="6">
                  <c:v>Vorarlberg</c:v>
                </c:pt>
                <c:pt idx="7">
                  <c:v>Salzburg</c:v>
                </c:pt>
                <c:pt idx="8">
                  <c:v>Niederösterreich</c:v>
                </c:pt>
              </c:strCache>
            </c:strRef>
          </c:cat>
          <c:val>
            <c:numRef>
              <c:f>'Entwicklung Kaufkraft'!$D$45:$D$53</c:f>
              <c:numCache>
                <c:formatCode>#,##0</c:formatCode>
                <c:ptCount val="9"/>
                <c:pt idx="0">
                  <c:v>23952</c:v>
                </c:pt>
                <c:pt idx="1">
                  <c:v>24443</c:v>
                </c:pt>
                <c:pt idx="2">
                  <c:v>24478</c:v>
                </c:pt>
                <c:pt idx="3">
                  <c:v>24783</c:v>
                </c:pt>
                <c:pt idx="4">
                  <c:v>24816</c:v>
                </c:pt>
                <c:pt idx="5">
                  <c:v>25677</c:v>
                </c:pt>
                <c:pt idx="6">
                  <c:v>25860</c:v>
                </c:pt>
                <c:pt idx="7">
                  <c:v>25978</c:v>
                </c:pt>
                <c:pt idx="8">
                  <c:v>26222</c:v>
                </c:pt>
              </c:numCache>
            </c:numRef>
          </c:val>
          <c:extLst>
            <c:ext xmlns:c16="http://schemas.microsoft.com/office/drawing/2014/chart" uri="{C3380CC4-5D6E-409C-BE32-E72D297353CC}">
              <c16:uniqueId val="{00000005-9742-4458-B8B5-5D060DFA8C1F}"/>
            </c:ext>
          </c:extLst>
        </c:ser>
        <c:dLbls>
          <c:showLegendKey val="0"/>
          <c:showVal val="0"/>
          <c:showCatName val="0"/>
          <c:showSerName val="0"/>
          <c:showPercent val="0"/>
          <c:showBubbleSize val="0"/>
        </c:dLbls>
        <c:gapWidth val="150"/>
        <c:axId val="120294400"/>
        <c:axId val="120308480"/>
      </c:barChart>
      <c:catAx>
        <c:axId val="120294400"/>
        <c:scaling>
          <c:orientation val="minMax"/>
        </c:scaling>
        <c:delete val="0"/>
        <c:axPos val="l"/>
        <c:numFmt formatCode="General" sourceLinked="1"/>
        <c:majorTickMark val="out"/>
        <c:minorTickMark val="none"/>
        <c:tickLblPos val="nextTo"/>
        <c:crossAx val="120308480"/>
        <c:crosses val="autoZero"/>
        <c:auto val="1"/>
        <c:lblAlgn val="ctr"/>
        <c:lblOffset val="100"/>
        <c:noMultiLvlLbl val="0"/>
      </c:catAx>
      <c:valAx>
        <c:axId val="120308480"/>
        <c:scaling>
          <c:orientation val="minMax"/>
        </c:scaling>
        <c:delete val="0"/>
        <c:axPos val="b"/>
        <c:majorGridlines/>
        <c:numFmt formatCode="#,##0" sourceLinked="1"/>
        <c:majorTickMark val="out"/>
        <c:minorTickMark val="none"/>
        <c:tickLblPos val="nextTo"/>
        <c:crossAx val="120294400"/>
        <c:crosses val="autoZero"/>
        <c:crossBetween val="between"/>
      </c:valAx>
      <c:spPr>
        <a:noFill/>
        <a:ln w="25400">
          <a:noFill/>
        </a:ln>
      </c:spPr>
    </c:plotArea>
    <c:legend>
      <c:legendPos val="b"/>
      <c:overlay val="0"/>
    </c:legend>
    <c:plotVisOnly val="1"/>
    <c:dispBlanksAs val="gap"/>
    <c:showDLblsOverMax val="0"/>
  </c:chart>
  <c:printSettings>
    <c:headerFooter/>
    <c:pageMargins b="0.78740157499999996" l="0.7" r="0.7" t="0.78740157499999996" header="0.3" footer="0.3"/>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1400"/>
              <a:t>KFZ</a:t>
            </a:r>
            <a:r>
              <a:rPr lang="de-AT" sz="1400" baseline="0"/>
              <a:t> Fahrzeugbestand Vlbg</a:t>
            </a:r>
            <a:r>
              <a:rPr lang="de-AT" baseline="0"/>
              <a:t>.</a:t>
            </a:r>
            <a:endParaRPr lang="de-AT"/>
          </a:p>
        </c:rich>
      </c:tx>
      <c:overlay val="0"/>
    </c:title>
    <c:autoTitleDeleted val="0"/>
    <c:plotArea>
      <c:layout/>
      <c:barChart>
        <c:barDir val="bar"/>
        <c:grouping val="clustered"/>
        <c:varyColors val="0"/>
        <c:ser>
          <c:idx val="0"/>
          <c:order val="0"/>
          <c:tx>
            <c:strRef>
              <c:f>' Verkehr Bestand Vlb'!$B$4</c:f>
              <c:strCache>
                <c:ptCount val="1"/>
                <c:pt idx="0">
                  <c:v>2013</c:v>
                </c:pt>
              </c:strCache>
            </c:strRef>
          </c:tx>
          <c:spPr>
            <a:solidFill>
              <a:schemeClr val="tx1">
                <a:lumMod val="50000"/>
                <a:lumOff val="50000"/>
              </a:schemeClr>
            </a:solidFill>
          </c:spPr>
          <c:invertIfNegative val="0"/>
          <c:cat>
            <c:strRef>
              <c:f>' Verkehr Bestand Vlb'!$A$5:$A$8</c:f>
              <c:strCache>
                <c:ptCount val="4"/>
                <c:pt idx="0">
                  <c:v>PKW</c:v>
                </c:pt>
                <c:pt idx="1">
                  <c:v>Motorräder gesamt</c:v>
                </c:pt>
                <c:pt idx="2">
                  <c:v>LKW u. Sattelzugfahrzeuge</c:v>
                </c:pt>
                <c:pt idx="3">
                  <c:v>Zugmaschinen</c:v>
                </c:pt>
              </c:strCache>
            </c:strRef>
          </c:cat>
          <c:val>
            <c:numRef>
              <c:f>' Verkehr Bestand Vlb'!$B$5:$B$8</c:f>
              <c:numCache>
                <c:formatCode>#,##0</c:formatCode>
                <c:ptCount val="4"/>
                <c:pt idx="0">
                  <c:v>195859</c:v>
                </c:pt>
                <c:pt idx="1">
                  <c:v>38799</c:v>
                </c:pt>
                <c:pt idx="2">
                  <c:v>17658</c:v>
                </c:pt>
                <c:pt idx="3">
                  <c:v>14375</c:v>
                </c:pt>
              </c:numCache>
            </c:numRef>
          </c:val>
          <c:extLst>
            <c:ext xmlns:c16="http://schemas.microsoft.com/office/drawing/2014/chart" uri="{C3380CC4-5D6E-409C-BE32-E72D297353CC}">
              <c16:uniqueId val="{00000000-7920-4E2C-A9E1-FA6FB6C3CDB4}"/>
            </c:ext>
          </c:extLst>
        </c:ser>
        <c:ser>
          <c:idx val="1"/>
          <c:order val="1"/>
          <c:tx>
            <c:strRef>
              <c:f>' Verkehr Bestand Vlb'!$C$4</c:f>
              <c:strCache>
                <c:ptCount val="1"/>
                <c:pt idx="0">
                  <c:v>2022</c:v>
                </c:pt>
              </c:strCache>
            </c:strRef>
          </c:tx>
          <c:spPr>
            <a:solidFill>
              <a:schemeClr val="tx1">
                <a:lumMod val="75000"/>
                <a:lumOff val="25000"/>
              </a:schemeClr>
            </a:solidFill>
          </c:spPr>
          <c:invertIfNegative val="0"/>
          <c:cat>
            <c:strRef>
              <c:f>' Verkehr Bestand Vlb'!$A$5:$A$8</c:f>
              <c:strCache>
                <c:ptCount val="4"/>
                <c:pt idx="0">
                  <c:v>PKW</c:v>
                </c:pt>
                <c:pt idx="1">
                  <c:v>Motorräder gesamt</c:v>
                </c:pt>
                <c:pt idx="2">
                  <c:v>LKW u. Sattelzugfahrzeuge</c:v>
                </c:pt>
                <c:pt idx="3">
                  <c:v>Zugmaschinen</c:v>
                </c:pt>
              </c:strCache>
            </c:strRef>
          </c:cat>
          <c:val>
            <c:numRef>
              <c:f>' Verkehr Bestand Vlb'!$C$5:$C$8</c:f>
              <c:numCache>
                <c:formatCode>#,##0</c:formatCode>
                <c:ptCount val="4"/>
                <c:pt idx="0">
                  <c:v>220292</c:v>
                </c:pt>
                <c:pt idx="1">
                  <c:v>46322</c:v>
                </c:pt>
                <c:pt idx="2">
                  <c:v>23470</c:v>
                </c:pt>
                <c:pt idx="3">
                  <c:v>18414</c:v>
                </c:pt>
              </c:numCache>
            </c:numRef>
          </c:val>
          <c:extLst>
            <c:ext xmlns:c16="http://schemas.microsoft.com/office/drawing/2014/chart" uri="{C3380CC4-5D6E-409C-BE32-E72D297353CC}">
              <c16:uniqueId val="{00000001-7920-4E2C-A9E1-FA6FB6C3CDB4}"/>
            </c:ext>
          </c:extLst>
        </c:ser>
        <c:ser>
          <c:idx val="2"/>
          <c:order val="2"/>
          <c:tx>
            <c:strRef>
              <c:f>' Verkehr Bestand Vlb'!$D$4</c:f>
              <c:strCache>
                <c:ptCount val="1"/>
                <c:pt idx="0">
                  <c:v>2023</c:v>
                </c:pt>
              </c:strCache>
            </c:strRef>
          </c:tx>
          <c:spPr>
            <a:solidFill>
              <a:srgbClr val="FF0000"/>
            </a:solidFill>
          </c:spPr>
          <c:invertIfNegative val="0"/>
          <c:cat>
            <c:strRef>
              <c:f>' Verkehr Bestand Vlb'!$A$5:$A$8</c:f>
              <c:strCache>
                <c:ptCount val="4"/>
                <c:pt idx="0">
                  <c:v>PKW</c:v>
                </c:pt>
                <c:pt idx="1">
                  <c:v>Motorräder gesamt</c:v>
                </c:pt>
                <c:pt idx="2">
                  <c:v>LKW u. Sattelzugfahrzeuge</c:v>
                </c:pt>
                <c:pt idx="3">
                  <c:v>Zugmaschinen</c:v>
                </c:pt>
              </c:strCache>
            </c:strRef>
          </c:cat>
          <c:val>
            <c:numRef>
              <c:f>' Verkehr Bestand Vlb'!$D$5:$D$8</c:f>
              <c:numCache>
                <c:formatCode>#,##0</c:formatCode>
                <c:ptCount val="4"/>
                <c:pt idx="0">
                  <c:v>221523</c:v>
                </c:pt>
                <c:pt idx="1">
                  <c:v>46886</c:v>
                </c:pt>
                <c:pt idx="2">
                  <c:v>23743</c:v>
                </c:pt>
                <c:pt idx="3">
                  <c:v>18912</c:v>
                </c:pt>
              </c:numCache>
            </c:numRef>
          </c:val>
          <c:extLst>
            <c:ext xmlns:c16="http://schemas.microsoft.com/office/drawing/2014/chart" uri="{C3380CC4-5D6E-409C-BE32-E72D297353CC}">
              <c16:uniqueId val="{00000002-7920-4E2C-A9E1-FA6FB6C3CDB4}"/>
            </c:ext>
          </c:extLst>
        </c:ser>
        <c:dLbls>
          <c:showLegendKey val="0"/>
          <c:showVal val="0"/>
          <c:showCatName val="0"/>
          <c:showSerName val="0"/>
          <c:showPercent val="0"/>
          <c:showBubbleSize val="0"/>
        </c:dLbls>
        <c:gapWidth val="150"/>
        <c:axId val="120744192"/>
        <c:axId val="120750080"/>
      </c:barChart>
      <c:catAx>
        <c:axId val="120744192"/>
        <c:scaling>
          <c:orientation val="minMax"/>
        </c:scaling>
        <c:delete val="0"/>
        <c:axPos val="l"/>
        <c:numFmt formatCode="General" sourceLinked="0"/>
        <c:majorTickMark val="out"/>
        <c:minorTickMark val="none"/>
        <c:tickLblPos val="nextTo"/>
        <c:crossAx val="120750080"/>
        <c:crosses val="autoZero"/>
        <c:auto val="1"/>
        <c:lblAlgn val="ctr"/>
        <c:lblOffset val="100"/>
        <c:noMultiLvlLbl val="0"/>
      </c:catAx>
      <c:valAx>
        <c:axId val="120750080"/>
        <c:scaling>
          <c:orientation val="minMax"/>
        </c:scaling>
        <c:delete val="0"/>
        <c:axPos val="b"/>
        <c:majorGridlines/>
        <c:numFmt formatCode="#,##0" sourceLinked="1"/>
        <c:majorTickMark val="out"/>
        <c:minorTickMark val="none"/>
        <c:tickLblPos val="nextTo"/>
        <c:crossAx val="12074419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LKW</a:t>
            </a:r>
            <a:r>
              <a:rPr lang="en-US" sz="1400" baseline="0"/>
              <a:t> der Klasse N1 in Vorarlberg nach Fahrzeughaltern</a:t>
            </a:r>
            <a:endParaRPr lang="en-US"/>
          </a:p>
        </c:rich>
      </c:tx>
      <c:overlay val="0"/>
      <c:spPr>
        <a:noFill/>
      </c:spPr>
    </c:title>
    <c:autoTitleDeleted val="0"/>
    <c:plotArea>
      <c:layout/>
      <c:barChart>
        <c:barDir val="bar"/>
        <c:grouping val="clustered"/>
        <c:varyColors val="0"/>
        <c:ser>
          <c:idx val="2"/>
          <c:order val="0"/>
          <c:tx>
            <c:strRef>
              <c:f>'Verkehr LKW, Seilbahnen'!$L$5</c:f>
              <c:strCache>
                <c:ptCount val="1"/>
                <c:pt idx="0">
                  <c:v>2023</c:v>
                </c:pt>
              </c:strCache>
            </c:strRef>
          </c:tx>
          <c:spPr>
            <a:solidFill>
              <a:srgbClr val="FF0000"/>
            </a:solidFill>
          </c:spPr>
          <c:invertIfNegative val="0"/>
          <c:cat>
            <c:strRef>
              <c:f>'Verkehr LKW, Seilbahnen'!$I$6:$I$15</c:f>
              <c:strCache>
                <c:ptCount val="10"/>
                <c:pt idx="0">
                  <c:v> Öffentliche Verwaltung </c:v>
                </c:pt>
                <c:pt idx="1">
                  <c:v> Land- und Forstwirtschaft </c:v>
                </c:pt>
                <c:pt idx="2">
                  <c:v> Produktion </c:v>
                </c:pt>
                <c:pt idx="3">
                  <c:v> Handel </c:v>
                </c:pt>
                <c:pt idx="4">
                  <c:v> Verkehr </c:v>
                </c:pt>
                <c:pt idx="5">
                  <c:v> Hotel- und Gastgewerbe </c:v>
                </c:pt>
                <c:pt idx="6">
                  <c:v> Verbände </c:v>
                </c:pt>
                <c:pt idx="7">
                  <c:v> Sonstige </c:v>
                </c:pt>
                <c:pt idx="8">
                  <c:v> Unselbstständige </c:v>
                </c:pt>
                <c:pt idx="9">
                  <c:v> Insgesamt </c:v>
                </c:pt>
              </c:strCache>
            </c:strRef>
          </c:cat>
          <c:val>
            <c:numRef>
              <c:f>'Verkehr LKW, Seilbahnen'!$L$6:$L$15</c:f>
              <c:numCache>
                <c:formatCode>_-* #,##0_-;\-* #,##0_-;_-* "-"??_-;_-@_-</c:formatCode>
                <c:ptCount val="10"/>
                <c:pt idx="0">
                  <c:v>462</c:v>
                </c:pt>
                <c:pt idx="1">
                  <c:v>447</c:v>
                </c:pt>
                <c:pt idx="2">
                  <c:v>7167</c:v>
                </c:pt>
                <c:pt idx="3">
                  <c:v>3869</c:v>
                </c:pt>
                <c:pt idx="4">
                  <c:v>2814</c:v>
                </c:pt>
                <c:pt idx="5">
                  <c:v>407</c:v>
                </c:pt>
                <c:pt idx="6">
                  <c:v>112</c:v>
                </c:pt>
                <c:pt idx="7">
                  <c:v>2671</c:v>
                </c:pt>
                <c:pt idx="8">
                  <c:v>5794</c:v>
                </c:pt>
                <c:pt idx="9">
                  <c:v>23743</c:v>
                </c:pt>
              </c:numCache>
            </c:numRef>
          </c:val>
          <c:extLst>
            <c:ext xmlns:c16="http://schemas.microsoft.com/office/drawing/2014/chart" uri="{C3380CC4-5D6E-409C-BE32-E72D297353CC}">
              <c16:uniqueId val="{00000000-327F-4A6A-A111-C206DBDFFE15}"/>
            </c:ext>
          </c:extLst>
        </c:ser>
        <c:ser>
          <c:idx val="1"/>
          <c:order val="1"/>
          <c:tx>
            <c:strRef>
              <c:f>'Verkehr LKW, Seilbahnen'!$K$5</c:f>
              <c:strCache>
                <c:ptCount val="1"/>
                <c:pt idx="0">
                  <c:v>2022</c:v>
                </c:pt>
              </c:strCache>
            </c:strRef>
          </c:tx>
          <c:spPr>
            <a:solidFill>
              <a:schemeClr val="tx1">
                <a:lumMod val="65000"/>
                <a:lumOff val="35000"/>
              </a:schemeClr>
            </a:solidFill>
          </c:spPr>
          <c:invertIfNegative val="0"/>
          <c:cat>
            <c:strRef>
              <c:f>'Verkehr LKW, Seilbahnen'!$I$6:$I$15</c:f>
              <c:strCache>
                <c:ptCount val="10"/>
                <c:pt idx="0">
                  <c:v> Öffentliche Verwaltung </c:v>
                </c:pt>
                <c:pt idx="1">
                  <c:v> Land- und Forstwirtschaft </c:v>
                </c:pt>
                <c:pt idx="2">
                  <c:v> Produktion </c:v>
                </c:pt>
                <c:pt idx="3">
                  <c:v> Handel </c:v>
                </c:pt>
                <c:pt idx="4">
                  <c:v> Verkehr </c:v>
                </c:pt>
                <c:pt idx="5">
                  <c:v> Hotel- und Gastgewerbe </c:v>
                </c:pt>
                <c:pt idx="6">
                  <c:v> Verbände </c:v>
                </c:pt>
                <c:pt idx="7">
                  <c:v> Sonstige </c:v>
                </c:pt>
                <c:pt idx="8">
                  <c:v> Unselbstständige </c:v>
                </c:pt>
                <c:pt idx="9">
                  <c:v> Insgesamt </c:v>
                </c:pt>
              </c:strCache>
            </c:strRef>
          </c:cat>
          <c:val>
            <c:numRef>
              <c:f>'Verkehr LKW, Seilbahnen'!$K$6:$K$15</c:f>
              <c:numCache>
                <c:formatCode>_-* #,##0_-;\-* #,##0_-;_-* "-"??_-;_-@_-</c:formatCode>
                <c:ptCount val="10"/>
                <c:pt idx="0">
                  <c:v>445</c:v>
                </c:pt>
                <c:pt idx="1">
                  <c:v>441</c:v>
                </c:pt>
                <c:pt idx="2">
                  <c:v>7077</c:v>
                </c:pt>
                <c:pt idx="3">
                  <c:v>3955</c:v>
                </c:pt>
                <c:pt idx="4">
                  <c:v>2844</c:v>
                </c:pt>
                <c:pt idx="5">
                  <c:v>366</c:v>
                </c:pt>
                <c:pt idx="6">
                  <c:v>106</c:v>
                </c:pt>
                <c:pt idx="7">
                  <c:v>2531</c:v>
                </c:pt>
                <c:pt idx="8">
                  <c:v>5705</c:v>
                </c:pt>
                <c:pt idx="9">
                  <c:v>23470</c:v>
                </c:pt>
              </c:numCache>
            </c:numRef>
          </c:val>
          <c:extLst>
            <c:ext xmlns:c16="http://schemas.microsoft.com/office/drawing/2014/chart" uri="{C3380CC4-5D6E-409C-BE32-E72D297353CC}">
              <c16:uniqueId val="{00000001-327F-4A6A-A111-C206DBDFFE15}"/>
            </c:ext>
          </c:extLst>
        </c:ser>
        <c:ser>
          <c:idx val="0"/>
          <c:order val="2"/>
          <c:tx>
            <c:strRef>
              <c:f>'Verkehr LKW, Seilbahnen'!$J$5</c:f>
              <c:strCache>
                <c:ptCount val="1"/>
                <c:pt idx="0">
                  <c:v>2013</c:v>
                </c:pt>
              </c:strCache>
            </c:strRef>
          </c:tx>
          <c:spPr>
            <a:solidFill>
              <a:schemeClr val="tx1">
                <a:lumMod val="65000"/>
                <a:lumOff val="35000"/>
              </a:schemeClr>
            </a:solidFill>
          </c:spPr>
          <c:invertIfNegative val="0"/>
          <c:cat>
            <c:strRef>
              <c:f>'Verkehr LKW, Seilbahnen'!$I$6:$I$15</c:f>
              <c:strCache>
                <c:ptCount val="10"/>
                <c:pt idx="0">
                  <c:v> Öffentliche Verwaltung </c:v>
                </c:pt>
                <c:pt idx="1">
                  <c:v> Land- und Forstwirtschaft </c:v>
                </c:pt>
                <c:pt idx="2">
                  <c:v> Produktion </c:v>
                </c:pt>
                <c:pt idx="3">
                  <c:v> Handel </c:v>
                </c:pt>
                <c:pt idx="4">
                  <c:v> Verkehr </c:v>
                </c:pt>
                <c:pt idx="5">
                  <c:v> Hotel- und Gastgewerbe </c:v>
                </c:pt>
                <c:pt idx="6">
                  <c:v> Verbände </c:v>
                </c:pt>
                <c:pt idx="7">
                  <c:v> Sonstige </c:v>
                </c:pt>
                <c:pt idx="8">
                  <c:v> Unselbstständige </c:v>
                </c:pt>
                <c:pt idx="9">
                  <c:v> Insgesamt </c:v>
                </c:pt>
              </c:strCache>
            </c:strRef>
          </c:cat>
          <c:val>
            <c:numRef>
              <c:f>'Verkehr LKW, Seilbahnen'!$J$6:$J$15</c:f>
              <c:numCache>
                <c:formatCode>_-* #,##0_-;\-* #,##0_-;_-* "-"??_-;_-@_-</c:formatCode>
                <c:ptCount val="10"/>
                <c:pt idx="0">
                  <c:v>150</c:v>
                </c:pt>
                <c:pt idx="1">
                  <c:v>320</c:v>
                </c:pt>
                <c:pt idx="2">
                  <c:v>5545</c:v>
                </c:pt>
                <c:pt idx="3">
                  <c:v>3062</c:v>
                </c:pt>
                <c:pt idx="4">
                  <c:v>1509</c:v>
                </c:pt>
                <c:pt idx="5">
                  <c:v>259</c:v>
                </c:pt>
                <c:pt idx="6">
                  <c:v>48</c:v>
                </c:pt>
                <c:pt idx="7">
                  <c:v>1771</c:v>
                </c:pt>
                <c:pt idx="8">
                  <c:v>3815</c:v>
                </c:pt>
                <c:pt idx="9">
                  <c:v>16479</c:v>
                </c:pt>
              </c:numCache>
            </c:numRef>
          </c:val>
          <c:extLst>
            <c:ext xmlns:c16="http://schemas.microsoft.com/office/drawing/2014/chart" uri="{C3380CC4-5D6E-409C-BE32-E72D297353CC}">
              <c16:uniqueId val="{00000002-327F-4A6A-A111-C206DBDFFE15}"/>
            </c:ext>
          </c:extLst>
        </c:ser>
        <c:dLbls>
          <c:showLegendKey val="0"/>
          <c:showVal val="0"/>
          <c:showCatName val="0"/>
          <c:showSerName val="0"/>
          <c:showPercent val="0"/>
          <c:showBubbleSize val="0"/>
        </c:dLbls>
        <c:gapWidth val="150"/>
        <c:axId val="121052160"/>
        <c:axId val="121062144"/>
      </c:barChart>
      <c:catAx>
        <c:axId val="121052160"/>
        <c:scaling>
          <c:orientation val="minMax"/>
        </c:scaling>
        <c:delete val="0"/>
        <c:axPos val="l"/>
        <c:numFmt formatCode="General" sourceLinked="0"/>
        <c:majorTickMark val="out"/>
        <c:minorTickMark val="none"/>
        <c:tickLblPos val="nextTo"/>
        <c:crossAx val="121062144"/>
        <c:crosses val="autoZero"/>
        <c:auto val="1"/>
        <c:lblAlgn val="ctr"/>
        <c:lblOffset val="100"/>
        <c:noMultiLvlLbl val="0"/>
      </c:catAx>
      <c:valAx>
        <c:axId val="121062144"/>
        <c:scaling>
          <c:orientation val="minMax"/>
          <c:max val="24000"/>
        </c:scaling>
        <c:delete val="0"/>
        <c:axPos val="b"/>
        <c:majorGridlines/>
        <c:numFmt formatCode="_-* #,##0_-;\-* #,##0_-;_-* &quot;-&quot;??_-;_-@_-" sourceLinked="1"/>
        <c:majorTickMark val="out"/>
        <c:minorTickMark val="none"/>
        <c:tickLblPos val="nextTo"/>
        <c:crossAx val="121052160"/>
        <c:crosses val="autoZero"/>
        <c:crossBetween val="between"/>
        <c:majorUnit val="2000"/>
      </c:valAx>
    </c:plotArea>
    <c:legend>
      <c:legendPos val="r"/>
      <c:overlay val="0"/>
    </c:legend>
    <c:plotVisOnly val="1"/>
    <c:dispBlanksAs val="gap"/>
    <c:showDLblsOverMax val="0"/>
  </c:chart>
  <c:printSettings>
    <c:headerFooter/>
    <c:pageMargins b="0.78740157499999996" l="0.7" r="0.7" t="0.78740157499999996"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'Entwicklung Außenhandel'!$A$58</c:f>
              <c:strCache>
                <c:ptCount val="1"/>
                <c:pt idx="0">
                  <c:v>2010</c:v>
                </c:pt>
              </c:strCache>
            </c:strRef>
          </c:tx>
          <c:spPr>
            <a:solidFill>
              <a:schemeClr val="bg1">
                <a:lumMod val="95000"/>
              </a:schemeClr>
            </a:solidFill>
          </c:spPr>
          <c:invertIfNegative val="0"/>
          <c:cat>
            <c:strRef>
              <c:f>'Entwicklung Außenhandel'!$B$57:$H$57</c:f>
              <c:strCache>
                <c:ptCount val="7"/>
                <c:pt idx="0">
                  <c:v>EU 27 2</c:v>
                </c:pt>
                <c:pt idx="1">
                  <c:v>EFTA</c:v>
                </c:pt>
                <c:pt idx="2">
                  <c:v>Andere
Europa</c:v>
                </c:pt>
                <c:pt idx="3">
                  <c:v>GUS 3</c:v>
                </c:pt>
                <c:pt idx="4">
                  <c:v>USA u.
Kanada</c:v>
                </c:pt>
                <c:pt idx="5">
                  <c:v>Asien</c:v>
                </c:pt>
                <c:pt idx="6">
                  <c:v>Andere
Länder</c:v>
                </c:pt>
              </c:strCache>
            </c:strRef>
          </c:cat>
          <c:val>
            <c:numRef>
              <c:f>'Entwicklung Außenhandel'!$B$58:$H$58</c:f>
              <c:numCache>
                <c:formatCode>#,##0.0</c:formatCode>
                <c:ptCount val="7"/>
                <c:pt idx="0">
                  <c:v>4441.1000000000004</c:v>
                </c:pt>
                <c:pt idx="1">
                  <c:v>1271.8</c:v>
                </c:pt>
                <c:pt idx="2">
                  <c:v>404.4</c:v>
                </c:pt>
                <c:pt idx="3">
                  <c:v>170.6</c:v>
                </c:pt>
                <c:pt idx="4">
                  <c:v>299.89999999999998</c:v>
                </c:pt>
                <c:pt idx="5">
                  <c:v>625.9</c:v>
                </c:pt>
                <c:pt idx="6">
                  <c:v>299.8</c:v>
                </c:pt>
              </c:numCache>
            </c:numRef>
          </c:val>
          <c:extLst>
            <c:ext xmlns:c16="http://schemas.microsoft.com/office/drawing/2014/chart" uri="{C3380CC4-5D6E-409C-BE32-E72D297353CC}">
              <c16:uniqueId val="{00000000-52FD-467E-B825-4C0C40607B75}"/>
            </c:ext>
          </c:extLst>
        </c:ser>
        <c:ser>
          <c:idx val="1"/>
          <c:order val="1"/>
          <c:tx>
            <c:strRef>
              <c:f>'Entwicklung Außenhandel'!$A$59</c:f>
              <c:strCache>
                <c:ptCount val="1"/>
                <c:pt idx="0">
                  <c:v>2013</c:v>
                </c:pt>
              </c:strCache>
            </c:strRef>
          </c:tx>
          <c:spPr>
            <a:solidFill>
              <a:schemeClr val="bg1">
                <a:lumMod val="85000"/>
              </a:schemeClr>
            </a:solidFill>
          </c:spPr>
          <c:invertIfNegative val="0"/>
          <c:cat>
            <c:strRef>
              <c:f>'Entwicklung Außenhandel'!$B$57:$H$57</c:f>
              <c:strCache>
                <c:ptCount val="7"/>
                <c:pt idx="0">
                  <c:v>EU 27 2</c:v>
                </c:pt>
                <c:pt idx="1">
                  <c:v>EFTA</c:v>
                </c:pt>
                <c:pt idx="2">
                  <c:v>Andere
Europa</c:v>
                </c:pt>
                <c:pt idx="3">
                  <c:v>GUS 3</c:v>
                </c:pt>
                <c:pt idx="4">
                  <c:v>USA u.
Kanada</c:v>
                </c:pt>
                <c:pt idx="5">
                  <c:v>Asien</c:v>
                </c:pt>
                <c:pt idx="6">
                  <c:v>Andere
Länder</c:v>
                </c:pt>
              </c:strCache>
            </c:strRef>
          </c:cat>
          <c:val>
            <c:numRef>
              <c:f>'Entwicklung Außenhandel'!$B$59:$H$59</c:f>
              <c:numCache>
                <c:formatCode>#,##0.0</c:formatCode>
                <c:ptCount val="7"/>
                <c:pt idx="0">
                  <c:v>4609.3999999999996</c:v>
                </c:pt>
                <c:pt idx="1">
                  <c:v>1498.6</c:v>
                </c:pt>
                <c:pt idx="2">
                  <c:v>424.3</c:v>
                </c:pt>
                <c:pt idx="3">
                  <c:v>296.3</c:v>
                </c:pt>
                <c:pt idx="4">
                  <c:v>422</c:v>
                </c:pt>
                <c:pt idx="5">
                  <c:v>690.3</c:v>
                </c:pt>
                <c:pt idx="6">
                  <c:v>447.9</c:v>
                </c:pt>
              </c:numCache>
            </c:numRef>
          </c:val>
          <c:extLst>
            <c:ext xmlns:c16="http://schemas.microsoft.com/office/drawing/2014/chart" uri="{C3380CC4-5D6E-409C-BE32-E72D297353CC}">
              <c16:uniqueId val="{00000001-52FD-467E-B825-4C0C40607B75}"/>
            </c:ext>
          </c:extLst>
        </c:ser>
        <c:ser>
          <c:idx val="2"/>
          <c:order val="2"/>
          <c:tx>
            <c:strRef>
              <c:f>'Entwicklung Außenhandel'!$A$60</c:f>
              <c:strCache>
                <c:ptCount val="1"/>
                <c:pt idx="0">
                  <c:v>2014</c:v>
                </c:pt>
              </c:strCache>
            </c:strRef>
          </c:tx>
          <c:spPr>
            <a:solidFill>
              <a:schemeClr val="bg1">
                <a:lumMod val="75000"/>
              </a:schemeClr>
            </a:solidFill>
          </c:spPr>
          <c:invertIfNegative val="0"/>
          <c:cat>
            <c:strRef>
              <c:f>'Entwicklung Außenhandel'!$B$57:$H$57</c:f>
              <c:strCache>
                <c:ptCount val="7"/>
                <c:pt idx="0">
                  <c:v>EU 27 2</c:v>
                </c:pt>
                <c:pt idx="1">
                  <c:v>EFTA</c:v>
                </c:pt>
                <c:pt idx="2">
                  <c:v>Andere
Europa</c:v>
                </c:pt>
                <c:pt idx="3">
                  <c:v>GUS 3</c:v>
                </c:pt>
                <c:pt idx="4">
                  <c:v>USA u.
Kanada</c:v>
                </c:pt>
                <c:pt idx="5">
                  <c:v>Asien</c:v>
                </c:pt>
                <c:pt idx="6">
                  <c:v>Andere
Länder</c:v>
                </c:pt>
              </c:strCache>
            </c:strRef>
          </c:cat>
          <c:val>
            <c:numRef>
              <c:f>'Entwicklung Außenhandel'!$B$60:$H$60</c:f>
              <c:numCache>
                <c:formatCode>#,##0.0</c:formatCode>
                <c:ptCount val="7"/>
                <c:pt idx="0">
                  <c:v>4977.3</c:v>
                </c:pt>
                <c:pt idx="1">
                  <c:v>1524</c:v>
                </c:pt>
                <c:pt idx="2">
                  <c:v>465.1</c:v>
                </c:pt>
                <c:pt idx="3">
                  <c:v>206</c:v>
                </c:pt>
                <c:pt idx="4">
                  <c:v>468.8</c:v>
                </c:pt>
                <c:pt idx="5">
                  <c:v>723.5</c:v>
                </c:pt>
                <c:pt idx="6">
                  <c:v>502.7</c:v>
                </c:pt>
              </c:numCache>
            </c:numRef>
          </c:val>
          <c:extLst>
            <c:ext xmlns:c16="http://schemas.microsoft.com/office/drawing/2014/chart" uri="{C3380CC4-5D6E-409C-BE32-E72D297353CC}">
              <c16:uniqueId val="{00000002-52FD-467E-B825-4C0C40607B75}"/>
            </c:ext>
          </c:extLst>
        </c:ser>
        <c:ser>
          <c:idx val="4"/>
          <c:order val="4"/>
          <c:tx>
            <c:strRef>
              <c:f>'Entwicklung Außenhandel'!$A$62</c:f>
              <c:strCache>
                <c:ptCount val="1"/>
                <c:pt idx="0">
                  <c:v>2016</c:v>
                </c:pt>
              </c:strCache>
            </c:strRef>
          </c:tx>
          <c:spPr>
            <a:solidFill>
              <a:schemeClr val="bg1">
                <a:lumMod val="65000"/>
              </a:schemeClr>
            </a:solidFill>
          </c:spPr>
          <c:invertIfNegative val="0"/>
          <c:cat>
            <c:strRef>
              <c:f>'Entwicklung Außenhandel'!$B$57:$H$57</c:f>
              <c:strCache>
                <c:ptCount val="7"/>
                <c:pt idx="0">
                  <c:v>EU 27 2</c:v>
                </c:pt>
                <c:pt idx="1">
                  <c:v>EFTA</c:v>
                </c:pt>
                <c:pt idx="2">
                  <c:v>Andere
Europa</c:v>
                </c:pt>
                <c:pt idx="3">
                  <c:v>GUS 3</c:v>
                </c:pt>
                <c:pt idx="4">
                  <c:v>USA u.
Kanada</c:v>
                </c:pt>
                <c:pt idx="5">
                  <c:v>Asien</c:v>
                </c:pt>
                <c:pt idx="6">
                  <c:v>Andere
Länder</c:v>
                </c:pt>
              </c:strCache>
            </c:strRef>
          </c:cat>
          <c:val>
            <c:numRef>
              <c:f>'Entwicklung Außenhandel'!$B$62:$H$62</c:f>
              <c:numCache>
                <c:formatCode>#,##0.0</c:formatCode>
                <c:ptCount val="7"/>
                <c:pt idx="0">
                  <c:v>5418.6</c:v>
                </c:pt>
                <c:pt idx="1">
                  <c:v>1564.2</c:v>
                </c:pt>
                <c:pt idx="2">
                  <c:v>464.8</c:v>
                </c:pt>
                <c:pt idx="3">
                  <c:v>156.80000000000001</c:v>
                </c:pt>
                <c:pt idx="4">
                  <c:v>593.5</c:v>
                </c:pt>
                <c:pt idx="5">
                  <c:v>812.9</c:v>
                </c:pt>
                <c:pt idx="6">
                  <c:v>526.1</c:v>
                </c:pt>
              </c:numCache>
            </c:numRef>
          </c:val>
          <c:extLst>
            <c:ext xmlns:c16="http://schemas.microsoft.com/office/drawing/2014/chart" uri="{C3380CC4-5D6E-409C-BE32-E72D297353CC}">
              <c16:uniqueId val="{00000004-52FD-467E-B825-4C0C40607B75}"/>
            </c:ext>
          </c:extLst>
        </c:ser>
        <c:ser>
          <c:idx val="7"/>
          <c:order val="7"/>
          <c:tx>
            <c:strRef>
              <c:f>'Entwicklung Außenhandel'!$A$65</c:f>
              <c:strCache>
                <c:ptCount val="1"/>
                <c:pt idx="0">
                  <c:v>2019</c:v>
                </c:pt>
              </c:strCache>
            </c:strRef>
          </c:tx>
          <c:spPr>
            <a:solidFill>
              <a:schemeClr val="tx1">
                <a:lumMod val="65000"/>
                <a:lumOff val="35000"/>
              </a:schemeClr>
            </a:solidFill>
          </c:spPr>
          <c:invertIfNegative val="0"/>
          <c:cat>
            <c:strRef>
              <c:f>'Entwicklung Außenhandel'!$B$57:$H$57</c:f>
              <c:strCache>
                <c:ptCount val="7"/>
                <c:pt idx="0">
                  <c:v>EU 27 2</c:v>
                </c:pt>
                <c:pt idx="1">
                  <c:v>EFTA</c:v>
                </c:pt>
                <c:pt idx="2">
                  <c:v>Andere
Europa</c:v>
                </c:pt>
                <c:pt idx="3">
                  <c:v>GUS 3</c:v>
                </c:pt>
                <c:pt idx="4">
                  <c:v>USA u.
Kanada</c:v>
                </c:pt>
                <c:pt idx="5">
                  <c:v>Asien</c:v>
                </c:pt>
                <c:pt idx="6">
                  <c:v>Andere
Länder</c:v>
                </c:pt>
              </c:strCache>
            </c:strRef>
          </c:cat>
          <c:val>
            <c:numRef>
              <c:f>'Entwicklung Außenhandel'!$B$65:$H$65</c:f>
              <c:numCache>
                <c:formatCode>#,##0.0</c:formatCode>
                <c:ptCount val="7"/>
                <c:pt idx="0">
                  <c:v>6215.7</c:v>
                </c:pt>
                <c:pt idx="1">
                  <c:v>1608.1</c:v>
                </c:pt>
                <c:pt idx="2">
                  <c:v>510.2</c:v>
                </c:pt>
                <c:pt idx="3">
                  <c:v>165.4</c:v>
                </c:pt>
                <c:pt idx="4">
                  <c:v>674.3</c:v>
                </c:pt>
                <c:pt idx="5">
                  <c:v>896.9</c:v>
                </c:pt>
                <c:pt idx="6">
                  <c:v>619.9</c:v>
                </c:pt>
              </c:numCache>
            </c:numRef>
          </c:val>
          <c:extLst>
            <c:ext xmlns:c16="http://schemas.microsoft.com/office/drawing/2014/chart" uri="{C3380CC4-5D6E-409C-BE32-E72D297353CC}">
              <c16:uniqueId val="{00000000-34E8-4C95-9C53-4078F9D6E382}"/>
            </c:ext>
          </c:extLst>
        </c:ser>
        <c:ser>
          <c:idx val="8"/>
          <c:order val="8"/>
          <c:tx>
            <c:strRef>
              <c:f>'Entwicklung Außenhandel'!$A$66</c:f>
              <c:strCache>
                <c:ptCount val="1"/>
                <c:pt idx="0">
                  <c:v>2020</c:v>
                </c:pt>
              </c:strCache>
            </c:strRef>
          </c:tx>
          <c:spPr>
            <a:solidFill>
              <a:schemeClr val="tx1">
                <a:lumMod val="75000"/>
                <a:lumOff val="25000"/>
              </a:schemeClr>
            </a:solidFill>
          </c:spPr>
          <c:invertIfNegative val="0"/>
          <c:cat>
            <c:strRef>
              <c:f>'Entwicklung Außenhandel'!$B$57:$H$57</c:f>
              <c:strCache>
                <c:ptCount val="7"/>
                <c:pt idx="0">
                  <c:v>EU 27 2</c:v>
                </c:pt>
                <c:pt idx="1">
                  <c:v>EFTA</c:v>
                </c:pt>
                <c:pt idx="2">
                  <c:v>Andere
Europa</c:v>
                </c:pt>
                <c:pt idx="3">
                  <c:v>GUS 3</c:v>
                </c:pt>
                <c:pt idx="4">
                  <c:v>USA u.
Kanada</c:v>
                </c:pt>
                <c:pt idx="5">
                  <c:v>Asien</c:v>
                </c:pt>
                <c:pt idx="6">
                  <c:v>Andere
Länder</c:v>
                </c:pt>
              </c:strCache>
            </c:strRef>
          </c:cat>
          <c:val>
            <c:numRef>
              <c:f>'Entwicklung Außenhandel'!$B$66:$H$66</c:f>
              <c:numCache>
                <c:formatCode>#,##0.0</c:formatCode>
                <c:ptCount val="7"/>
                <c:pt idx="0">
                  <c:v>6072.3</c:v>
                </c:pt>
                <c:pt idx="1">
                  <c:v>1554</c:v>
                </c:pt>
                <c:pt idx="2">
                  <c:v>490.5</c:v>
                </c:pt>
                <c:pt idx="3">
                  <c:v>189.8</c:v>
                </c:pt>
                <c:pt idx="4">
                  <c:v>603.1</c:v>
                </c:pt>
                <c:pt idx="5">
                  <c:v>882.7</c:v>
                </c:pt>
                <c:pt idx="6">
                  <c:v>624.70000000000005</c:v>
                </c:pt>
              </c:numCache>
            </c:numRef>
          </c:val>
          <c:extLst>
            <c:ext xmlns:c16="http://schemas.microsoft.com/office/drawing/2014/chart" uri="{C3380CC4-5D6E-409C-BE32-E72D297353CC}">
              <c16:uniqueId val="{00000001-781D-4A69-8F72-E026832426C1}"/>
            </c:ext>
          </c:extLst>
        </c:ser>
        <c:ser>
          <c:idx val="9"/>
          <c:order val="9"/>
          <c:tx>
            <c:strRef>
              <c:f>'Entwicklung Außenhandel'!$A$67</c:f>
              <c:strCache>
                <c:ptCount val="1"/>
                <c:pt idx="0">
                  <c:v>2021</c:v>
                </c:pt>
              </c:strCache>
            </c:strRef>
          </c:tx>
          <c:spPr>
            <a:solidFill>
              <a:schemeClr val="tx1">
                <a:lumMod val="95000"/>
                <a:lumOff val="5000"/>
              </a:schemeClr>
            </a:solidFill>
          </c:spPr>
          <c:invertIfNegative val="0"/>
          <c:cat>
            <c:strRef>
              <c:f>'Entwicklung Außenhandel'!$B$57:$H$57</c:f>
              <c:strCache>
                <c:ptCount val="7"/>
                <c:pt idx="0">
                  <c:v>EU 27 2</c:v>
                </c:pt>
                <c:pt idx="1">
                  <c:v>EFTA</c:v>
                </c:pt>
                <c:pt idx="2">
                  <c:v>Andere
Europa</c:v>
                </c:pt>
                <c:pt idx="3">
                  <c:v>GUS 3</c:v>
                </c:pt>
                <c:pt idx="4">
                  <c:v>USA u.
Kanada</c:v>
                </c:pt>
                <c:pt idx="5">
                  <c:v>Asien</c:v>
                </c:pt>
                <c:pt idx="6">
                  <c:v>Andere
Länder</c:v>
                </c:pt>
              </c:strCache>
            </c:strRef>
          </c:cat>
          <c:val>
            <c:numRef>
              <c:f>'Entwicklung Außenhandel'!$B$67:$H$67</c:f>
              <c:numCache>
                <c:formatCode>#,##0.0</c:formatCode>
                <c:ptCount val="7"/>
                <c:pt idx="0">
                  <c:v>7527.6</c:v>
                </c:pt>
                <c:pt idx="1">
                  <c:v>1629.5</c:v>
                </c:pt>
                <c:pt idx="2">
                  <c:v>608.4</c:v>
                </c:pt>
                <c:pt idx="3">
                  <c:v>236.9</c:v>
                </c:pt>
                <c:pt idx="4">
                  <c:v>786.4</c:v>
                </c:pt>
                <c:pt idx="5">
                  <c:v>1050.7</c:v>
                </c:pt>
                <c:pt idx="6">
                  <c:v>762</c:v>
                </c:pt>
              </c:numCache>
            </c:numRef>
          </c:val>
          <c:extLst>
            <c:ext xmlns:c16="http://schemas.microsoft.com/office/drawing/2014/chart" uri="{C3380CC4-5D6E-409C-BE32-E72D297353CC}">
              <c16:uniqueId val="{00000001-488D-4133-A566-C4E522B0FB14}"/>
            </c:ext>
          </c:extLst>
        </c:ser>
        <c:ser>
          <c:idx val="10"/>
          <c:order val="10"/>
          <c:tx>
            <c:strRef>
              <c:f>'Entwicklung Außenhandel'!$A$68</c:f>
              <c:strCache>
                <c:ptCount val="1"/>
                <c:pt idx="0">
                  <c:v>2022</c:v>
                </c:pt>
              </c:strCache>
            </c:strRef>
          </c:tx>
          <c:spPr>
            <a:solidFill>
              <a:srgbClr val="E30613"/>
            </a:solidFill>
          </c:spPr>
          <c:invertIfNegative val="0"/>
          <c:cat>
            <c:strRef>
              <c:f>'Entwicklung Außenhandel'!$B$57:$H$57</c:f>
              <c:strCache>
                <c:ptCount val="7"/>
                <c:pt idx="0">
                  <c:v>EU 27 2</c:v>
                </c:pt>
                <c:pt idx="1">
                  <c:v>EFTA</c:v>
                </c:pt>
                <c:pt idx="2">
                  <c:v>Andere
Europa</c:v>
                </c:pt>
                <c:pt idx="3">
                  <c:v>GUS 3</c:v>
                </c:pt>
                <c:pt idx="4">
                  <c:v>USA u.
Kanada</c:v>
                </c:pt>
                <c:pt idx="5">
                  <c:v>Asien</c:v>
                </c:pt>
                <c:pt idx="6">
                  <c:v>Andere
Länder</c:v>
                </c:pt>
              </c:strCache>
            </c:strRef>
          </c:cat>
          <c:val>
            <c:numRef>
              <c:f>'Entwicklung Außenhandel'!$B$68:$H$68</c:f>
              <c:numCache>
                <c:formatCode>#,##0.0</c:formatCode>
                <c:ptCount val="7"/>
                <c:pt idx="0">
                  <c:v>8192.2999999999993</c:v>
                </c:pt>
                <c:pt idx="1">
                  <c:v>1865.8</c:v>
                </c:pt>
                <c:pt idx="2">
                  <c:v>630</c:v>
                </c:pt>
                <c:pt idx="3">
                  <c:v>125.5</c:v>
                </c:pt>
                <c:pt idx="4">
                  <c:v>976.8</c:v>
                </c:pt>
                <c:pt idx="5">
                  <c:v>1119.5999999999999</c:v>
                </c:pt>
                <c:pt idx="6">
                  <c:v>734.3</c:v>
                </c:pt>
              </c:numCache>
            </c:numRef>
          </c:val>
          <c:extLst>
            <c:ext xmlns:c16="http://schemas.microsoft.com/office/drawing/2014/chart" uri="{C3380CC4-5D6E-409C-BE32-E72D297353CC}">
              <c16:uniqueId val="{00000000-6286-4897-AA50-4BB0CA0F09EE}"/>
            </c:ext>
          </c:extLst>
        </c:ser>
        <c:ser>
          <c:idx val="11"/>
          <c:order val="11"/>
          <c:tx>
            <c:strRef>
              <c:f>'Entwicklung Außenhandel'!$A$69</c:f>
              <c:strCache>
                <c:ptCount val="1"/>
                <c:pt idx="0">
                  <c:v>2023 1</c:v>
                </c:pt>
              </c:strCache>
            </c:strRef>
          </c:tx>
          <c:spPr>
            <a:solidFill>
              <a:srgbClr val="FF0000"/>
            </a:solidFill>
          </c:spPr>
          <c:invertIfNegative val="0"/>
          <c:cat>
            <c:strRef>
              <c:f>'Entwicklung Außenhandel'!$B$57:$H$57</c:f>
              <c:strCache>
                <c:ptCount val="7"/>
                <c:pt idx="0">
                  <c:v>EU 27 2</c:v>
                </c:pt>
                <c:pt idx="1">
                  <c:v>EFTA</c:v>
                </c:pt>
                <c:pt idx="2">
                  <c:v>Andere
Europa</c:v>
                </c:pt>
                <c:pt idx="3">
                  <c:v>GUS 3</c:v>
                </c:pt>
                <c:pt idx="4">
                  <c:v>USA u.
Kanada</c:v>
                </c:pt>
                <c:pt idx="5">
                  <c:v>Asien</c:v>
                </c:pt>
                <c:pt idx="6">
                  <c:v>Andere
Länder</c:v>
                </c:pt>
              </c:strCache>
            </c:strRef>
          </c:cat>
          <c:val>
            <c:numRef>
              <c:f>'Entwicklung Außenhandel'!$B$69:$H$69</c:f>
              <c:numCache>
                <c:formatCode>#,##0.0</c:formatCode>
                <c:ptCount val="7"/>
                <c:pt idx="0">
                  <c:v>7909.4</c:v>
                </c:pt>
                <c:pt idx="1">
                  <c:v>1846.9</c:v>
                </c:pt>
                <c:pt idx="2">
                  <c:v>619</c:v>
                </c:pt>
                <c:pt idx="3">
                  <c:v>124.3</c:v>
                </c:pt>
                <c:pt idx="4">
                  <c:v>902.2</c:v>
                </c:pt>
                <c:pt idx="5">
                  <c:v>1000.3</c:v>
                </c:pt>
                <c:pt idx="6">
                  <c:v>816.1</c:v>
                </c:pt>
              </c:numCache>
            </c:numRef>
          </c:val>
          <c:extLst>
            <c:ext xmlns:c16="http://schemas.microsoft.com/office/drawing/2014/chart" uri="{C3380CC4-5D6E-409C-BE32-E72D297353CC}">
              <c16:uniqueId val="{00000000-14C1-4972-81F0-05DF162BC9E5}"/>
            </c:ext>
          </c:extLst>
        </c:ser>
        <c:dLbls>
          <c:showLegendKey val="0"/>
          <c:showVal val="0"/>
          <c:showCatName val="0"/>
          <c:showSerName val="0"/>
          <c:showPercent val="0"/>
          <c:showBubbleSize val="0"/>
        </c:dLbls>
        <c:gapWidth val="150"/>
        <c:axId val="120810880"/>
        <c:axId val="120812672"/>
        <c:extLst>
          <c:ext xmlns:c15="http://schemas.microsoft.com/office/drawing/2012/chart" uri="{02D57815-91ED-43cb-92C2-25804820EDAC}">
            <c15:filteredBarSeries>
              <c15:ser>
                <c:idx val="3"/>
                <c:order val="3"/>
                <c:tx>
                  <c:strRef>
                    <c:extLst>
                      <c:ext uri="{02D57815-91ED-43cb-92C2-25804820EDAC}">
                        <c15:formulaRef>
                          <c15:sqref>'Entwicklung Außenhandel'!$A$61</c15:sqref>
                        </c15:formulaRef>
                      </c:ext>
                    </c:extLst>
                    <c:strCache>
                      <c:ptCount val="1"/>
                      <c:pt idx="0">
                        <c:v>2015</c:v>
                      </c:pt>
                    </c:strCache>
                  </c:strRef>
                </c:tx>
                <c:invertIfNegative val="0"/>
                <c:cat>
                  <c:strRef>
                    <c:extLst>
                      <c:ext uri="{02D57815-91ED-43cb-92C2-25804820EDAC}">
                        <c15:formulaRef>
                          <c15:sqref>'Entwicklung Außenhandel'!$B$57:$H$57</c15:sqref>
                        </c15:formulaRef>
                      </c:ext>
                    </c:extLst>
                    <c:strCache>
                      <c:ptCount val="7"/>
                      <c:pt idx="0">
                        <c:v>EU 27 2</c:v>
                      </c:pt>
                      <c:pt idx="1">
                        <c:v>EFTA</c:v>
                      </c:pt>
                      <c:pt idx="2">
                        <c:v>Andere
Europa</c:v>
                      </c:pt>
                      <c:pt idx="3">
                        <c:v>GUS 3</c:v>
                      </c:pt>
                      <c:pt idx="4">
                        <c:v>USA u.
Kanada</c:v>
                      </c:pt>
                      <c:pt idx="5">
                        <c:v>Asien</c:v>
                      </c:pt>
                      <c:pt idx="6">
                        <c:v>Andere
Länder</c:v>
                      </c:pt>
                    </c:strCache>
                  </c:strRef>
                </c:cat>
                <c:val>
                  <c:numRef>
                    <c:extLst>
                      <c:ext uri="{02D57815-91ED-43cb-92C2-25804820EDAC}">
                        <c15:formulaRef>
                          <c15:sqref>'Entwicklung Außenhandel'!$B$61:$H$61</c15:sqref>
                        </c15:formulaRef>
                      </c:ext>
                    </c:extLst>
                    <c:numCache>
                      <c:formatCode>#,##0.0</c:formatCode>
                      <c:ptCount val="7"/>
                      <c:pt idx="0">
                        <c:v>5217.2</c:v>
                      </c:pt>
                      <c:pt idx="1">
                        <c:v>1601.5</c:v>
                      </c:pt>
                      <c:pt idx="2">
                        <c:v>516.9</c:v>
                      </c:pt>
                      <c:pt idx="3">
                        <c:v>153.5</c:v>
                      </c:pt>
                      <c:pt idx="4">
                        <c:v>573.6</c:v>
                      </c:pt>
                      <c:pt idx="5">
                        <c:v>892.1</c:v>
                      </c:pt>
                      <c:pt idx="6">
                        <c:v>501</c:v>
                      </c:pt>
                    </c:numCache>
                  </c:numRef>
                </c:val>
                <c:extLst>
                  <c:ext xmlns:c16="http://schemas.microsoft.com/office/drawing/2014/chart" uri="{C3380CC4-5D6E-409C-BE32-E72D297353CC}">
                    <c16:uniqueId val="{00000003-52FD-467E-B825-4C0C40607B7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'Entwicklung Außenhandel'!$A$63</c15:sqref>
                        </c15:formulaRef>
                      </c:ext>
                    </c:extLst>
                    <c:strCache>
                      <c:ptCount val="1"/>
                      <c:pt idx="0">
                        <c:v>2017</c:v>
                      </c:pt>
                    </c:strCache>
                  </c:strRef>
                </c:tx>
                <c:invertIfNegative val="0"/>
                <c:cat>
                  <c:strRef>
                    <c:extLst xmlns:c15="http://schemas.microsoft.com/office/drawing/2012/chart">
                      <c:ext xmlns:c15="http://schemas.microsoft.com/office/drawing/2012/chart" uri="{02D57815-91ED-43cb-92C2-25804820EDAC}">
                        <c15:formulaRef>
                          <c15:sqref>'Entwicklung Außenhandel'!$B$57:$H$57</c15:sqref>
                        </c15:formulaRef>
                      </c:ext>
                    </c:extLst>
                    <c:strCache>
                      <c:ptCount val="7"/>
                      <c:pt idx="0">
                        <c:v>EU 27 2</c:v>
                      </c:pt>
                      <c:pt idx="1">
                        <c:v>EFTA</c:v>
                      </c:pt>
                      <c:pt idx="2">
                        <c:v>Andere
Europa</c:v>
                      </c:pt>
                      <c:pt idx="3">
                        <c:v>GUS 3</c:v>
                      </c:pt>
                      <c:pt idx="4">
                        <c:v>USA u.
Kanada</c:v>
                      </c:pt>
                      <c:pt idx="5">
                        <c:v>Asien</c:v>
                      </c:pt>
                      <c:pt idx="6">
                        <c:v>Andere
Länder</c:v>
                      </c:pt>
                    </c:strCache>
                  </c:strRef>
                </c:cat>
                <c:val>
                  <c:numRef>
                    <c:extLst xmlns:c15="http://schemas.microsoft.com/office/drawing/2012/chart">
                      <c:ext xmlns:c15="http://schemas.microsoft.com/office/drawing/2012/chart" uri="{02D57815-91ED-43cb-92C2-25804820EDAC}">
                        <c15:formulaRef>
                          <c15:sqref>'Entwicklung Außenhandel'!$B$63:$H$63</c15:sqref>
                        </c15:formulaRef>
                      </c:ext>
                    </c:extLst>
                    <c:numCache>
                      <c:formatCode>#,##0.0</c:formatCode>
                      <c:ptCount val="7"/>
                      <c:pt idx="0">
                        <c:v>5799.3</c:v>
                      </c:pt>
                      <c:pt idx="1">
                        <c:v>1585.1</c:v>
                      </c:pt>
                      <c:pt idx="2">
                        <c:v>510.9</c:v>
                      </c:pt>
                      <c:pt idx="3">
                        <c:v>178.2</c:v>
                      </c:pt>
                      <c:pt idx="4">
                        <c:v>567.5</c:v>
                      </c:pt>
                      <c:pt idx="5">
                        <c:v>904.1</c:v>
                      </c:pt>
                      <c:pt idx="6">
                        <c:v>671</c:v>
                      </c:pt>
                    </c:numCache>
                  </c:numRef>
                </c:val>
                <c:extLst xmlns:c15="http://schemas.microsoft.com/office/drawing/2012/chart">
                  <c:ext xmlns:c16="http://schemas.microsoft.com/office/drawing/2014/chart" uri="{C3380CC4-5D6E-409C-BE32-E72D297353CC}">
                    <c16:uniqueId val="{00000005-52FD-467E-B825-4C0C40607B7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'Entwicklung Außenhandel'!$A$64</c15:sqref>
                        </c15:formulaRef>
                      </c:ext>
                    </c:extLst>
                    <c:strCache>
                      <c:ptCount val="1"/>
                      <c:pt idx="0">
                        <c:v>2018</c:v>
                      </c:pt>
                    </c:strCache>
                  </c:strRef>
                </c:tx>
                <c:spPr>
                  <a:solidFill>
                    <a:schemeClr val="tx1">
                      <a:lumMod val="50000"/>
                      <a:lumOff val="50000"/>
                    </a:schemeClr>
                  </a:solidFill>
                </c:spPr>
                <c:invertIfNegative val="0"/>
                <c:cat>
                  <c:strRef>
                    <c:extLst xmlns:c15="http://schemas.microsoft.com/office/drawing/2012/chart">
                      <c:ext xmlns:c15="http://schemas.microsoft.com/office/drawing/2012/chart" uri="{02D57815-91ED-43cb-92C2-25804820EDAC}">
                        <c15:formulaRef>
                          <c15:sqref>'Entwicklung Außenhandel'!$B$57:$H$57</c15:sqref>
                        </c15:formulaRef>
                      </c:ext>
                    </c:extLst>
                    <c:strCache>
                      <c:ptCount val="7"/>
                      <c:pt idx="0">
                        <c:v>EU 27 2</c:v>
                      </c:pt>
                      <c:pt idx="1">
                        <c:v>EFTA</c:v>
                      </c:pt>
                      <c:pt idx="2">
                        <c:v>Andere
Europa</c:v>
                      </c:pt>
                      <c:pt idx="3">
                        <c:v>GUS 3</c:v>
                      </c:pt>
                      <c:pt idx="4">
                        <c:v>USA u.
Kanada</c:v>
                      </c:pt>
                      <c:pt idx="5">
                        <c:v>Asien</c:v>
                      </c:pt>
                      <c:pt idx="6">
                        <c:v>Andere
Länder</c:v>
                      </c:pt>
                    </c:strCache>
                  </c:strRef>
                </c:cat>
                <c:val>
                  <c:numRef>
                    <c:extLst xmlns:c15="http://schemas.microsoft.com/office/drawing/2012/chart">
                      <c:ext xmlns:c15="http://schemas.microsoft.com/office/drawing/2012/chart" uri="{02D57815-91ED-43cb-92C2-25804820EDAC}">
                        <c15:formulaRef>
                          <c15:sqref>'Entwicklung Außenhandel'!$B$64:$H$64</c15:sqref>
                        </c15:formulaRef>
                      </c:ext>
                    </c:extLst>
                    <c:numCache>
                      <c:formatCode>#,##0.0</c:formatCode>
                      <c:ptCount val="7"/>
                      <c:pt idx="0">
                        <c:v>6171.8</c:v>
                      </c:pt>
                      <c:pt idx="1">
                        <c:v>1572.1</c:v>
                      </c:pt>
                      <c:pt idx="2">
                        <c:v>491.9</c:v>
                      </c:pt>
                      <c:pt idx="3">
                        <c:v>151</c:v>
                      </c:pt>
                      <c:pt idx="4">
                        <c:v>640.9</c:v>
                      </c:pt>
                      <c:pt idx="5">
                        <c:v>844.9</c:v>
                      </c:pt>
                      <c:pt idx="6">
                        <c:v>624.70000000000005</c:v>
                      </c:pt>
                    </c:numCache>
                  </c:numRef>
                </c:val>
                <c:extLst xmlns:c15="http://schemas.microsoft.com/office/drawing/2012/chart">
                  <c:ext xmlns:c16="http://schemas.microsoft.com/office/drawing/2014/chart" uri="{C3380CC4-5D6E-409C-BE32-E72D297353CC}">
                    <c16:uniqueId val="{00000000-C4AC-472F-9732-FFAC016547A2}"/>
                  </c:ext>
                </c:extLst>
              </c15:ser>
            </c15:filteredBarSeries>
          </c:ext>
        </c:extLst>
      </c:barChart>
      <c:catAx>
        <c:axId val="120810880"/>
        <c:scaling>
          <c:orientation val="minMax"/>
        </c:scaling>
        <c:delete val="0"/>
        <c:axPos val="b"/>
        <c:numFmt formatCode="General" sourceLinked="0"/>
        <c:majorTickMark val="out"/>
        <c:minorTickMark val="none"/>
        <c:tickLblPos val="nextTo"/>
        <c:crossAx val="120812672"/>
        <c:crosses val="autoZero"/>
        <c:auto val="1"/>
        <c:lblAlgn val="ctr"/>
        <c:lblOffset val="100"/>
        <c:noMultiLvlLbl val="0"/>
      </c:catAx>
      <c:valAx>
        <c:axId val="120812672"/>
        <c:scaling>
          <c:orientation val="minMax"/>
        </c:scaling>
        <c:delete val="0"/>
        <c:axPos val="l"/>
        <c:majorGridlines/>
        <c:numFmt formatCode="#,##0.0" sourceLinked="1"/>
        <c:majorTickMark val="out"/>
        <c:minorTickMark val="none"/>
        <c:tickLblPos val="nextTo"/>
        <c:crossAx val="12081088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'E-Verbrauch Anteile Energieträg'!$A$53</c:f>
              <c:strCache>
                <c:ptCount val="1"/>
                <c:pt idx="0">
                  <c:v>Industrie</c:v>
                </c:pt>
              </c:strCache>
            </c:strRef>
          </c:tx>
          <c:marker>
            <c:symbol val="none"/>
          </c:marker>
          <c:cat>
            <c:numRef>
              <c:f>'E-Verbrauch Anteile Energieträg'!$C$52:$K$52</c:f>
              <c:numCache>
                <c:formatCode>General</c:formatCode>
                <c:ptCount val="9"/>
                <c:pt idx="0">
                  <c:v>2010</c:v>
                </c:pt>
                <c:pt idx="1">
                  <c:v>2012</c:v>
                </c:pt>
                <c:pt idx="2">
                  <c:v>2014</c:v>
                </c:pt>
                <c:pt idx="3">
                  <c:v>2016</c:v>
                </c:pt>
                <c:pt idx="4">
                  <c:v>2018</c:v>
                </c:pt>
                <c:pt idx="5">
                  <c:v>2020</c:v>
                </c:pt>
                <c:pt idx="6">
                  <c:v>2021</c:v>
                </c:pt>
                <c:pt idx="7">
                  <c:v>2022</c:v>
                </c:pt>
                <c:pt idx="8">
                  <c:v>2023</c:v>
                </c:pt>
              </c:numCache>
            </c:numRef>
          </c:cat>
          <c:val>
            <c:numRef>
              <c:f>'E-Verbrauch Anteile Energieträg'!$C$53:$K$53</c:f>
              <c:numCache>
                <c:formatCode>#,##0</c:formatCode>
                <c:ptCount val="9"/>
                <c:pt idx="0">
                  <c:v>1031</c:v>
                </c:pt>
                <c:pt idx="1">
                  <c:v>1031</c:v>
                </c:pt>
                <c:pt idx="2">
                  <c:v>1078</c:v>
                </c:pt>
                <c:pt idx="3">
                  <c:v>1101</c:v>
                </c:pt>
                <c:pt idx="4">
                  <c:v>1133</c:v>
                </c:pt>
                <c:pt idx="5">
                  <c:v>1079</c:v>
                </c:pt>
                <c:pt idx="6">
                  <c:v>1144</c:v>
                </c:pt>
                <c:pt idx="7">
                  <c:v>1137</c:v>
                </c:pt>
                <c:pt idx="8">
                  <c:v>1058</c:v>
                </c:pt>
              </c:numCache>
            </c:numRef>
          </c:val>
          <c:smooth val="0"/>
          <c:extLst>
            <c:ext xmlns:c16="http://schemas.microsoft.com/office/drawing/2014/chart" uri="{C3380CC4-5D6E-409C-BE32-E72D297353CC}">
              <c16:uniqueId val="{00000000-353A-4873-8044-BD0893E52998}"/>
            </c:ext>
          </c:extLst>
        </c:ser>
        <c:ser>
          <c:idx val="2"/>
          <c:order val="1"/>
          <c:tx>
            <c:strRef>
              <c:f>'E-Verbrauch Anteile Energieträg'!$A$54</c:f>
              <c:strCache>
                <c:ptCount val="1"/>
                <c:pt idx="0">
                  <c:v>Gewerbe</c:v>
                </c:pt>
              </c:strCache>
            </c:strRef>
          </c:tx>
          <c:marker>
            <c:symbol val="none"/>
          </c:marker>
          <c:cat>
            <c:numRef>
              <c:f>'E-Verbrauch Anteile Energieträg'!$C$52:$K$52</c:f>
              <c:numCache>
                <c:formatCode>General</c:formatCode>
                <c:ptCount val="9"/>
                <c:pt idx="0">
                  <c:v>2010</c:v>
                </c:pt>
                <c:pt idx="1">
                  <c:v>2012</c:v>
                </c:pt>
                <c:pt idx="2">
                  <c:v>2014</c:v>
                </c:pt>
                <c:pt idx="3">
                  <c:v>2016</c:v>
                </c:pt>
                <c:pt idx="4">
                  <c:v>2018</c:v>
                </c:pt>
                <c:pt idx="5">
                  <c:v>2020</c:v>
                </c:pt>
                <c:pt idx="6">
                  <c:v>2021</c:v>
                </c:pt>
                <c:pt idx="7">
                  <c:v>2022</c:v>
                </c:pt>
                <c:pt idx="8">
                  <c:v>2023</c:v>
                </c:pt>
              </c:numCache>
            </c:numRef>
          </c:cat>
          <c:val>
            <c:numRef>
              <c:f>'E-Verbrauch Anteile Energieträg'!$C$54:$K$54</c:f>
              <c:numCache>
                <c:formatCode>#,##0</c:formatCode>
                <c:ptCount val="9"/>
                <c:pt idx="0">
                  <c:v>641</c:v>
                </c:pt>
                <c:pt idx="1">
                  <c:v>633</c:v>
                </c:pt>
                <c:pt idx="2">
                  <c:v>604</c:v>
                </c:pt>
                <c:pt idx="3">
                  <c:v>639</c:v>
                </c:pt>
                <c:pt idx="4">
                  <c:v>652</c:v>
                </c:pt>
                <c:pt idx="5">
                  <c:v>613</c:v>
                </c:pt>
                <c:pt idx="6">
                  <c:v>621</c:v>
                </c:pt>
                <c:pt idx="7">
                  <c:v>637</c:v>
                </c:pt>
                <c:pt idx="8">
                  <c:v>630</c:v>
                </c:pt>
              </c:numCache>
            </c:numRef>
          </c:val>
          <c:smooth val="0"/>
          <c:extLst>
            <c:ext xmlns:c16="http://schemas.microsoft.com/office/drawing/2014/chart" uri="{C3380CC4-5D6E-409C-BE32-E72D297353CC}">
              <c16:uniqueId val="{00000001-353A-4873-8044-BD0893E52998}"/>
            </c:ext>
          </c:extLst>
        </c:ser>
        <c:ser>
          <c:idx val="3"/>
          <c:order val="2"/>
          <c:tx>
            <c:strRef>
              <c:f>'E-Verbrauch Anteile Energieträg'!$A$55</c:f>
              <c:strCache>
                <c:ptCount val="1"/>
                <c:pt idx="0">
                  <c:v>Haushalte</c:v>
                </c:pt>
              </c:strCache>
            </c:strRef>
          </c:tx>
          <c:marker>
            <c:symbol val="none"/>
          </c:marker>
          <c:cat>
            <c:numRef>
              <c:f>'E-Verbrauch Anteile Energieträg'!$C$52:$K$52</c:f>
              <c:numCache>
                <c:formatCode>General</c:formatCode>
                <c:ptCount val="9"/>
                <c:pt idx="0">
                  <c:v>2010</c:v>
                </c:pt>
                <c:pt idx="1">
                  <c:v>2012</c:v>
                </c:pt>
                <c:pt idx="2">
                  <c:v>2014</c:v>
                </c:pt>
                <c:pt idx="3">
                  <c:v>2016</c:v>
                </c:pt>
                <c:pt idx="4">
                  <c:v>2018</c:v>
                </c:pt>
                <c:pt idx="5">
                  <c:v>2020</c:v>
                </c:pt>
                <c:pt idx="6">
                  <c:v>2021</c:v>
                </c:pt>
                <c:pt idx="7">
                  <c:v>2022</c:v>
                </c:pt>
                <c:pt idx="8">
                  <c:v>2023</c:v>
                </c:pt>
              </c:numCache>
            </c:numRef>
          </c:cat>
          <c:val>
            <c:numRef>
              <c:f>'E-Verbrauch Anteile Energieträg'!$C$55:$K$55</c:f>
              <c:numCache>
                <c:formatCode>#,##0</c:formatCode>
                <c:ptCount val="9"/>
                <c:pt idx="0">
                  <c:v>782</c:v>
                </c:pt>
                <c:pt idx="1">
                  <c:v>778</c:v>
                </c:pt>
                <c:pt idx="2">
                  <c:v>755</c:v>
                </c:pt>
                <c:pt idx="3">
                  <c:v>775</c:v>
                </c:pt>
                <c:pt idx="4">
                  <c:v>770</c:v>
                </c:pt>
                <c:pt idx="5">
                  <c:v>793</c:v>
                </c:pt>
                <c:pt idx="6">
                  <c:v>831</c:v>
                </c:pt>
                <c:pt idx="7">
                  <c:v>788</c:v>
                </c:pt>
                <c:pt idx="8">
                  <c:v>775</c:v>
                </c:pt>
              </c:numCache>
            </c:numRef>
          </c:val>
          <c:smooth val="0"/>
          <c:extLst>
            <c:ext xmlns:c16="http://schemas.microsoft.com/office/drawing/2014/chart" uri="{C3380CC4-5D6E-409C-BE32-E72D297353CC}">
              <c16:uniqueId val="{00000002-353A-4873-8044-BD0893E52998}"/>
            </c:ext>
          </c:extLst>
        </c:ser>
        <c:ser>
          <c:idx val="4"/>
          <c:order val="3"/>
          <c:tx>
            <c:strRef>
              <c:f>'E-Verbrauch Anteile Energieträg'!$A$56</c:f>
              <c:strCache>
                <c:ptCount val="1"/>
                <c:pt idx="0">
                  <c:v>Landwirtschaft</c:v>
                </c:pt>
              </c:strCache>
            </c:strRef>
          </c:tx>
          <c:marker>
            <c:symbol val="none"/>
          </c:marker>
          <c:cat>
            <c:numRef>
              <c:f>'E-Verbrauch Anteile Energieträg'!$C$52:$K$52</c:f>
              <c:numCache>
                <c:formatCode>General</c:formatCode>
                <c:ptCount val="9"/>
                <c:pt idx="0">
                  <c:v>2010</c:v>
                </c:pt>
                <c:pt idx="1">
                  <c:v>2012</c:v>
                </c:pt>
                <c:pt idx="2">
                  <c:v>2014</c:v>
                </c:pt>
                <c:pt idx="3">
                  <c:v>2016</c:v>
                </c:pt>
                <c:pt idx="4">
                  <c:v>2018</c:v>
                </c:pt>
                <c:pt idx="5">
                  <c:v>2020</c:v>
                </c:pt>
                <c:pt idx="6">
                  <c:v>2021</c:v>
                </c:pt>
                <c:pt idx="7">
                  <c:v>2022</c:v>
                </c:pt>
                <c:pt idx="8">
                  <c:v>2023</c:v>
                </c:pt>
              </c:numCache>
            </c:numRef>
          </c:cat>
          <c:val>
            <c:numRef>
              <c:f>'E-Verbrauch Anteile Energieträg'!$C$56:$K$56</c:f>
              <c:numCache>
                <c:formatCode>#,##0</c:formatCode>
                <c:ptCount val="9"/>
                <c:pt idx="0">
                  <c:v>53</c:v>
                </c:pt>
                <c:pt idx="1">
                  <c:v>50</c:v>
                </c:pt>
                <c:pt idx="2">
                  <c:v>46</c:v>
                </c:pt>
                <c:pt idx="3">
                  <c:v>48</c:v>
                </c:pt>
                <c:pt idx="4">
                  <c:v>50</c:v>
                </c:pt>
                <c:pt idx="5">
                  <c:v>50</c:v>
                </c:pt>
                <c:pt idx="6">
                  <c:v>52</c:v>
                </c:pt>
                <c:pt idx="7">
                  <c:v>49</c:v>
                </c:pt>
                <c:pt idx="8">
                  <c:v>46</c:v>
                </c:pt>
              </c:numCache>
            </c:numRef>
          </c:val>
          <c:smooth val="0"/>
          <c:extLst>
            <c:ext xmlns:c16="http://schemas.microsoft.com/office/drawing/2014/chart" uri="{C3380CC4-5D6E-409C-BE32-E72D297353CC}">
              <c16:uniqueId val="{00000003-353A-4873-8044-BD0893E52998}"/>
            </c:ext>
          </c:extLst>
        </c:ser>
        <c:ser>
          <c:idx val="5"/>
          <c:order val="4"/>
          <c:tx>
            <c:strRef>
              <c:f>'E-Verbrauch Anteile Energieträg'!$A$57</c:f>
              <c:strCache>
                <c:ptCount val="1"/>
                <c:pt idx="0">
                  <c:v>Eigenverbrauch für Erzeugung und Verteilung</c:v>
                </c:pt>
              </c:strCache>
            </c:strRef>
          </c:tx>
          <c:marker>
            <c:symbol val="none"/>
          </c:marker>
          <c:cat>
            <c:numRef>
              <c:f>'E-Verbrauch Anteile Energieträg'!$C$52:$K$52</c:f>
              <c:numCache>
                <c:formatCode>General</c:formatCode>
                <c:ptCount val="9"/>
                <c:pt idx="0">
                  <c:v>2010</c:v>
                </c:pt>
                <c:pt idx="1">
                  <c:v>2012</c:v>
                </c:pt>
                <c:pt idx="2">
                  <c:v>2014</c:v>
                </c:pt>
                <c:pt idx="3">
                  <c:v>2016</c:v>
                </c:pt>
                <c:pt idx="4">
                  <c:v>2018</c:v>
                </c:pt>
                <c:pt idx="5">
                  <c:v>2020</c:v>
                </c:pt>
                <c:pt idx="6">
                  <c:v>2021</c:v>
                </c:pt>
                <c:pt idx="7">
                  <c:v>2022</c:v>
                </c:pt>
                <c:pt idx="8">
                  <c:v>2023</c:v>
                </c:pt>
              </c:numCache>
            </c:numRef>
          </c:cat>
          <c:val>
            <c:numRef>
              <c:f>'E-Verbrauch Anteile Energieträg'!$C$57:$K$57</c:f>
              <c:numCache>
                <c:formatCode>#,##0</c:formatCode>
                <c:ptCount val="9"/>
                <c:pt idx="0">
                  <c:v>222</c:v>
                </c:pt>
                <c:pt idx="1">
                  <c:v>222</c:v>
                </c:pt>
                <c:pt idx="2">
                  <c:v>229</c:v>
                </c:pt>
                <c:pt idx="3">
                  <c:v>245</c:v>
                </c:pt>
                <c:pt idx="4">
                  <c:v>231</c:v>
                </c:pt>
                <c:pt idx="5">
                  <c:v>232</c:v>
                </c:pt>
                <c:pt idx="6">
                  <c:v>242</c:v>
                </c:pt>
                <c:pt idx="7">
                  <c:v>232</c:v>
                </c:pt>
                <c:pt idx="8">
                  <c:v>222</c:v>
                </c:pt>
              </c:numCache>
            </c:numRef>
          </c:val>
          <c:smooth val="0"/>
          <c:extLst>
            <c:ext xmlns:c16="http://schemas.microsoft.com/office/drawing/2014/chart" uri="{C3380CC4-5D6E-409C-BE32-E72D297353CC}">
              <c16:uniqueId val="{00000004-353A-4873-8044-BD0893E52998}"/>
            </c:ext>
          </c:extLst>
        </c:ser>
        <c:dLbls>
          <c:showLegendKey val="0"/>
          <c:showVal val="0"/>
          <c:showCatName val="0"/>
          <c:showSerName val="0"/>
          <c:showPercent val="0"/>
          <c:showBubbleSize val="0"/>
        </c:dLbls>
        <c:smooth val="0"/>
        <c:axId val="119937280"/>
        <c:axId val="119947264"/>
      </c:lineChart>
      <c:catAx>
        <c:axId val="119937280"/>
        <c:scaling>
          <c:orientation val="minMax"/>
        </c:scaling>
        <c:delete val="0"/>
        <c:axPos val="b"/>
        <c:numFmt formatCode="General" sourceLinked="1"/>
        <c:majorTickMark val="out"/>
        <c:minorTickMark val="none"/>
        <c:tickLblPos val="nextTo"/>
        <c:crossAx val="119947264"/>
        <c:crosses val="autoZero"/>
        <c:auto val="1"/>
        <c:lblAlgn val="ctr"/>
        <c:lblOffset val="100"/>
        <c:noMultiLvlLbl val="0"/>
      </c:catAx>
      <c:valAx>
        <c:axId val="119947264"/>
        <c:scaling>
          <c:orientation val="minMax"/>
        </c:scaling>
        <c:delete val="0"/>
        <c:axPos val="l"/>
        <c:majorGridlines/>
        <c:numFmt formatCode="#,##0" sourceLinked="1"/>
        <c:majorTickMark val="out"/>
        <c:minorTickMark val="none"/>
        <c:tickLblPos val="nextTo"/>
        <c:crossAx val="11993728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'E-Verbrauch Anteile Energieträg'!$C$5</c:f>
              <c:strCache>
                <c:ptCount val="1"/>
                <c:pt idx="0">
                  <c:v>Treibstoffe1</c:v>
                </c:pt>
              </c:strCache>
            </c:strRef>
          </c:tx>
          <c:spPr>
            <a:solidFill>
              <a:srgbClr val="646363"/>
            </a:solidFill>
            <a:ln>
              <a:solidFill>
                <a:srgbClr val="646363"/>
              </a:solidFill>
            </a:ln>
          </c:spPr>
          <c:invertIfNegative val="0"/>
          <c:cat>
            <c:numRef>
              <c:f>'E-Verbrauch Anteile Energieträg'!$B$7:$B$15</c:f>
              <c:numCache>
                <c:formatCode>General</c:formatCode>
                <c:ptCount val="9"/>
                <c:pt idx="0">
                  <c:v>2010</c:v>
                </c:pt>
                <c:pt idx="1">
                  <c:v>2012</c:v>
                </c:pt>
                <c:pt idx="2">
                  <c:v>2014</c:v>
                </c:pt>
                <c:pt idx="3">
                  <c:v>2016</c:v>
                </c:pt>
                <c:pt idx="4">
                  <c:v>2018</c:v>
                </c:pt>
                <c:pt idx="5">
                  <c:v>2019</c:v>
                </c:pt>
                <c:pt idx="6">
                  <c:v>2020</c:v>
                </c:pt>
                <c:pt idx="7">
                  <c:v>2021</c:v>
                </c:pt>
                <c:pt idx="8">
                  <c:v>2022</c:v>
                </c:pt>
              </c:numCache>
            </c:numRef>
          </c:cat>
          <c:val>
            <c:numRef>
              <c:f>'E-Verbrauch Anteile Energieträg'!$C$7:$C$15</c:f>
              <c:numCache>
                <c:formatCode>#,##0</c:formatCode>
                <c:ptCount val="9"/>
                <c:pt idx="0">
                  <c:v>2024</c:v>
                </c:pt>
                <c:pt idx="1">
                  <c:v>2030</c:v>
                </c:pt>
                <c:pt idx="2">
                  <c:v>2015</c:v>
                </c:pt>
                <c:pt idx="3">
                  <c:v>2063</c:v>
                </c:pt>
                <c:pt idx="4">
                  <c:v>2103</c:v>
                </c:pt>
                <c:pt idx="5">
                  <c:v>2128</c:v>
                </c:pt>
                <c:pt idx="6">
                  <c:v>1747</c:v>
                </c:pt>
                <c:pt idx="7">
                  <c:v>2098</c:v>
                </c:pt>
                <c:pt idx="8">
                  <c:v>2102</c:v>
                </c:pt>
              </c:numCache>
            </c:numRef>
          </c:val>
          <c:extLst>
            <c:ext xmlns:c16="http://schemas.microsoft.com/office/drawing/2014/chart" uri="{C3380CC4-5D6E-409C-BE32-E72D297353CC}">
              <c16:uniqueId val="{00000000-C20B-4419-B71D-F94DC35EB5DE}"/>
            </c:ext>
          </c:extLst>
        </c:ser>
        <c:ser>
          <c:idx val="1"/>
          <c:order val="1"/>
          <c:tx>
            <c:strRef>
              <c:f>'E-Verbrauch Anteile Energieträg'!$D$5</c:f>
              <c:strCache>
                <c:ptCount val="1"/>
                <c:pt idx="0">
                  <c:v>Öl</c:v>
                </c:pt>
              </c:strCache>
            </c:strRef>
          </c:tx>
          <c:spPr>
            <a:solidFill>
              <a:srgbClr val="E30613"/>
            </a:solidFill>
          </c:spPr>
          <c:invertIfNegative val="0"/>
          <c:cat>
            <c:numRef>
              <c:f>'E-Verbrauch Anteile Energieträg'!$B$7:$B$15</c:f>
              <c:numCache>
                <c:formatCode>General</c:formatCode>
                <c:ptCount val="9"/>
                <c:pt idx="0">
                  <c:v>2010</c:v>
                </c:pt>
                <c:pt idx="1">
                  <c:v>2012</c:v>
                </c:pt>
                <c:pt idx="2">
                  <c:v>2014</c:v>
                </c:pt>
                <c:pt idx="3">
                  <c:v>2016</c:v>
                </c:pt>
                <c:pt idx="4">
                  <c:v>2018</c:v>
                </c:pt>
                <c:pt idx="5">
                  <c:v>2019</c:v>
                </c:pt>
                <c:pt idx="6">
                  <c:v>2020</c:v>
                </c:pt>
                <c:pt idx="7">
                  <c:v>2021</c:v>
                </c:pt>
                <c:pt idx="8">
                  <c:v>2022</c:v>
                </c:pt>
              </c:numCache>
            </c:numRef>
          </c:cat>
          <c:val>
            <c:numRef>
              <c:f>'E-Verbrauch Anteile Energieträg'!$D$7:$D$15</c:f>
              <c:numCache>
                <c:formatCode>#,##0</c:formatCode>
                <c:ptCount val="9"/>
                <c:pt idx="0">
                  <c:v>1407</c:v>
                </c:pt>
                <c:pt idx="1">
                  <c:v>1006</c:v>
                </c:pt>
                <c:pt idx="2">
                  <c:v>801</c:v>
                </c:pt>
                <c:pt idx="3">
                  <c:v>765</c:v>
                </c:pt>
                <c:pt idx="4">
                  <c:v>686</c:v>
                </c:pt>
                <c:pt idx="5">
                  <c:v>736</c:v>
                </c:pt>
                <c:pt idx="6">
                  <c:v>682</c:v>
                </c:pt>
                <c:pt idx="7">
                  <c:v>740</c:v>
                </c:pt>
                <c:pt idx="8">
                  <c:v>632</c:v>
                </c:pt>
              </c:numCache>
            </c:numRef>
          </c:val>
          <c:extLst>
            <c:ext xmlns:c16="http://schemas.microsoft.com/office/drawing/2014/chart" uri="{C3380CC4-5D6E-409C-BE32-E72D297353CC}">
              <c16:uniqueId val="{00000001-C20B-4419-B71D-F94DC35EB5DE}"/>
            </c:ext>
          </c:extLst>
        </c:ser>
        <c:ser>
          <c:idx val="2"/>
          <c:order val="2"/>
          <c:tx>
            <c:strRef>
              <c:f>'E-Verbrauch Anteile Energieträg'!$E$5</c:f>
              <c:strCache>
                <c:ptCount val="1"/>
                <c:pt idx="0">
                  <c:v>Erdgas</c:v>
                </c:pt>
              </c:strCache>
            </c:strRef>
          </c:tx>
          <c:spPr>
            <a:solidFill>
              <a:srgbClr val="0070C0"/>
            </a:solidFill>
          </c:spPr>
          <c:invertIfNegative val="0"/>
          <c:cat>
            <c:numRef>
              <c:f>'E-Verbrauch Anteile Energieträg'!$B$7:$B$15</c:f>
              <c:numCache>
                <c:formatCode>General</c:formatCode>
                <c:ptCount val="9"/>
                <c:pt idx="0">
                  <c:v>2010</c:v>
                </c:pt>
                <c:pt idx="1">
                  <c:v>2012</c:v>
                </c:pt>
                <c:pt idx="2">
                  <c:v>2014</c:v>
                </c:pt>
                <c:pt idx="3">
                  <c:v>2016</c:v>
                </c:pt>
                <c:pt idx="4">
                  <c:v>2018</c:v>
                </c:pt>
                <c:pt idx="5">
                  <c:v>2019</c:v>
                </c:pt>
                <c:pt idx="6">
                  <c:v>2020</c:v>
                </c:pt>
                <c:pt idx="7">
                  <c:v>2021</c:v>
                </c:pt>
                <c:pt idx="8">
                  <c:v>2022</c:v>
                </c:pt>
              </c:numCache>
            </c:numRef>
          </c:cat>
          <c:val>
            <c:numRef>
              <c:f>'E-Verbrauch Anteile Energieträg'!$E$7:$E$15</c:f>
              <c:numCache>
                <c:formatCode>#,##0</c:formatCode>
                <c:ptCount val="9"/>
                <c:pt idx="0">
                  <c:v>2165</c:v>
                </c:pt>
                <c:pt idx="1">
                  <c:v>1980</c:v>
                </c:pt>
                <c:pt idx="2">
                  <c:v>1850</c:v>
                </c:pt>
                <c:pt idx="3">
                  <c:v>2064</c:v>
                </c:pt>
                <c:pt idx="4">
                  <c:v>2078</c:v>
                </c:pt>
                <c:pt idx="5">
                  <c:v>2165</c:v>
                </c:pt>
                <c:pt idx="6">
                  <c:v>2121</c:v>
                </c:pt>
                <c:pt idx="7">
                  <c:v>2328</c:v>
                </c:pt>
                <c:pt idx="8">
                  <c:v>2008</c:v>
                </c:pt>
              </c:numCache>
            </c:numRef>
          </c:val>
          <c:extLst>
            <c:ext xmlns:c16="http://schemas.microsoft.com/office/drawing/2014/chart" uri="{C3380CC4-5D6E-409C-BE32-E72D297353CC}">
              <c16:uniqueId val="{00000002-C20B-4419-B71D-F94DC35EB5DE}"/>
            </c:ext>
          </c:extLst>
        </c:ser>
        <c:ser>
          <c:idx val="3"/>
          <c:order val="3"/>
          <c:tx>
            <c:strRef>
              <c:f>'E-Verbrauch Anteile Energieträg'!$F$5</c:f>
              <c:strCache>
                <c:ptCount val="1"/>
                <c:pt idx="0">
                  <c:v>Umgebungswärme/Wärmepumpen</c:v>
                </c:pt>
              </c:strCache>
            </c:strRef>
          </c:tx>
          <c:spPr>
            <a:solidFill>
              <a:srgbClr val="9D9D9C"/>
            </a:solidFill>
          </c:spPr>
          <c:invertIfNegative val="0"/>
          <c:cat>
            <c:numRef>
              <c:f>'E-Verbrauch Anteile Energieträg'!$B$7:$B$15</c:f>
              <c:numCache>
                <c:formatCode>General</c:formatCode>
                <c:ptCount val="9"/>
                <c:pt idx="0">
                  <c:v>2010</c:v>
                </c:pt>
                <c:pt idx="1">
                  <c:v>2012</c:v>
                </c:pt>
                <c:pt idx="2">
                  <c:v>2014</c:v>
                </c:pt>
                <c:pt idx="3">
                  <c:v>2016</c:v>
                </c:pt>
                <c:pt idx="4">
                  <c:v>2018</c:v>
                </c:pt>
                <c:pt idx="5">
                  <c:v>2019</c:v>
                </c:pt>
                <c:pt idx="6">
                  <c:v>2020</c:v>
                </c:pt>
                <c:pt idx="7">
                  <c:v>2021</c:v>
                </c:pt>
                <c:pt idx="8">
                  <c:v>2022</c:v>
                </c:pt>
              </c:numCache>
            </c:numRef>
          </c:cat>
          <c:val>
            <c:numRef>
              <c:f>'E-Verbrauch Anteile Energieträg'!$F$7:$F$15</c:f>
              <c:numCache>
                <c:formatCode>#,##0</c:formatCode>
                <c:ptCount val="9"/>
                <c:pt idx="0">
                  <c:v>142</c:v>
                </c:pt>
                <c:pt idx="1">
                  <c:v>211</c:v>
                </c:pt>
                <c:pt idx="2">
                  <c:v>273</c:v>
                </c:pt>
                <c:pt idx="3">
                  <c:v>302</c:v>
                </c:pt>
                <c:pt idx="4">
                  <c:v>330</c:v>
                </c:pt>
                <c:pt idx="5">
                  <c:v>368</c:v>
                </c:pt>
                <c:pt idx="6">
                  <c:v>397</c:v>
                </c:pt>
                <c:pt idx="7">
                  <c:v>425</c:v>
                </c:pt>
                <c:pt idx="8">
                  <c:v>393</c:v>
                </c:pt>
              </c:numCache>
            </c:numRef>
          </c:val>
          <c:extLst>
            <c:ext xmlns:c16="http://schemas.microsoft.com/office/drawing/2014/chart" uri="{C3380CC4-5D6E-409C-BE32-E72D297353CC}">
              <c16:uniqueId val="{00000003-C20B-4419-B71D-F94DC35EB5DE}"/>
            </c:ext>
          </c:extLst>
        </c:ser>
        <c:ser>
          <c:idx val="4"/>
          <c:order val="4"/>
          <c:tx>
            <c:strRef>
              <c:f>'E-Verbrauch Anteile Energieträg'!$G$5</c:f>
              <c:strCache>
                <c:ptCount val="1"/>
                <c:pt idx="0">
                  <c:v>Biogene Energieträger</c:v>
                </c:pt>
              </c:strCache>
            </c:strRef>
          </c:tx>
          <c:invertIfNegative val="0"/>
          <c:cat>
            <c:numRef>
              <c:f>'E-Verbrauch Anteile Energieträg'!$B$7:$B$15</c:f>
              <c:numCache>
                <c:formatCode>General</c:formatCode>
                <c:ptCount val="9"/>
                <c:pt idx="0">
                  <c:v>2010</c:v>
                </c:pt>
                <c:pt idx="1">
                  <c:v>2012</c:v>
                </c:pt>
                <c:pt idx="2">
                  <c:v>2014</c:v>
                </c:pt>
                <c:pt idx="3">
                  <c:v>2016</c:v>
                </c:pt>
                <c:pt idx="4">
                  <c:v>2018</c:v>
                </c:pt>
                <c:pt idx="5">
                  <c:v>2019</c:v>
                </c:pt>
                <c:pt idx="6">
                  <c:v>2020</c:v>
                </c:pt>
                <c:pt idx="7">
                  <c:v>2021</c:v>
                </c:pt>
                <c:pt idx="8">
                  <c:v>2022</c:v>
                </c:pt>
              </c:numCache>
            </c:numRef>
          </c:cat>
          <c:val>
            <c:numRef>
              <c:f>'E-Verbrauch Anteile Energieträg'!$G$7:$G$15</c:f>
              <c:numCache>
                <c:formatCode>#,##0</c:formatCode>
                <c:ptCount val="9"/>
                <c:pt idx="0">
                  <c:v>960</c:v>
                </c:pt>
                <c:pt idx="1">
                  <c:v>1002</c:v>
                </c:pt>
                <c:pt idx="2">
                  <c:v>916</c:v>
                </c:pt>
                <c:pt idx="3">
                  <c:v>1090</c:v>
                </c:pt>
                <c:pt idx="4">
                  <c:v>978</c:v>
                </c:pt>
                <c:pt idx="5">
                  <c:v>1040</c:v>
                </c:pt>
                <c:pt idx="6">
                  <c:v>851</c:v>
                </c:pt>
                <c:pt idx="7">
                  <c:v>1073</c:v>
                </c:pt>
                <c:pt idx="8">
                  <c:v>1073</c:v>
                </c:pt>
              </c:numCache>
            </c:numRef>
          </c:val>
          <c:extLst>
            <c:ext xmlns:c16="http://schemas.microsoft.com/office/drawing/2014/chart" uri="{C3380CC4-5D6E-409C-BE32-E72D297353CC}">
              <c16:uniqueId val="{00000004-C20B-4419-B71D-F94DC35EB5DE}"/>
            </c:ext>
          </c:extLst>
        </c:ser>
        <c:ser>
          <c:idx val="5"/>
          <c:order val="5"/>
          <c:tx>
            <c:strRef>
              <c:f>'E-Verbrauch Anteile Energieträg'!$H$5</c:f>
              <c:strCache>
                <c:ptCount val="1"/>
                <c:pt idx="0">
                  <c:v>Solarwärme</c:v>
                </c:pt>
              </c:strCache>
            </c:strRef>
          </c:tx>
          <c:invertIfNegative val="0"/>
          <c:cat>
            <c:numRef>
              <c:f>'E-Verbrauch Anteile Energieträg'!$B$7:$B$15</c:f>
              <c:numCache>
                <c:formatCode>General</c:formatCode>
                <c:ptCount val="9"/>
                <c:pt idx="0">
                  <c:v>2010</c:v>
                </c:pt>
                <c:pt idx="1">
                  <c:v>2012</c:v>
                </c:pt>
                <c:pt idx="2">
                  <c:v>2014</c:v>
                </c:pt>
                <c:pt idx="3">
                  <c:v>2016</c:v>
                </c:pt>
                <c:pt idx="4">
                  <c:v>2018</c:v>
                </c:pt>
                <c:pt idx="5">
                  <c:v>2019</c:v>
                </c:pt>
                <c:pt idx="6">
                  <c:v>2020</c:v>
                </c:pt>
                <c:pt idx="7">
                  <c:v>2021</c:v>
                </c:pt>
                <c:pt idx="8">
                  <c:v>2022</c:v>
                </c:pt>
              </c:numCache>
            </c:numRef>
          </c:cat>
          <c:val>
            <c:numRef>
              <c:f>'E-Verbrauch Anteile Energieträg'!$H$7:$H$15</c:f>
              <c:numCache>
                <c:formatCode>#,##0</c:formatCode>
                <c:ptCount val="9"/>
                <c:pt idx="0">
                  <c:v>118</c:v>
                </c:pt>
                <c:pt idx="1">
                  <c:v>159</c:v>
                </c:pt>
                <c:pt idx="2">
                  <c:v>165</c:v>
                </c:pt>
                <c:pt idx="3">
                  <c:v>185</c:v>
                </c:pt>
                <c:pt idx="4">
                  <c:v>214</c:v>
                </c:pt>
                <c:pt idx="5">
                  <c:v>217</c:v>
                </c:pt>
                <c:pt idx="6">
                  <c:v>221</c:v>
                </c:pt>
                <c:pt idx="7">
                  <c:v>189</c:v>
                </c:pt>
                <c:pt idx="8">
                  <c:v>191</c:v>
                </c:pt>
              </c:numCache>
            </c:numRef>
          </c:val>
          <c:extLst>
            <c:ext xmlns:c16="http://schemas.microsoft.com/office/drawing/2014/chart" uri="{C3380CC4-5D6E-409C-BE32-E72D297353CC}">
              <c16:uniqueId val="{00000005-C20B-4419-B71D-F94DC35EB5DE}"/>
            </c:ext>
          </c:extLst>
        </c:ser>
        <c:ser>
          <c:idx val="6"/>
          <c:order val="6"/>
          <c:tx>
            <c:strRef>
              <c:f>'E-Verbrauch Anteile Energieträg'!$I$5</c:f>
              <c:strCache>
                <c:ptCount val="1"/>
                <c:pt idx="0">
                  <c:v>Elektrische Energie</c:v>
                </c:pt>
              </c:strCache>
            </c:strRef>
          </c:tx>
          <c:spPr>
            <a:solidFill>
              <a:srgbClr val="D0D0D0"/>
            </a:solidFill>
          </c:spPr>
          <c:invertIfNegative val="0"/>
          <c:cat>
            <c:numRef>
              <c:f>'E-Verbrauch Anteile Energieträg'!$B$7:$B$15</c:f>
              <c:numCache>
                <c:formatCode>General</c:formatCode>
                <c:ptCount val="9"/>
                <c:pt idx="0">
                  <c:v>2010</c:v>
                </c:pt>
                <c:pt idx="1">
                  <c:v>2012</c:v>
                </c:pt>
                <c:pt idx="2">
                  <c:v>2014</c:v>
                </c:pt>
                <c:pt idx="3">
                  <c:v>2016</c:v>
                </c:pt>
                <c:pt idx="4">
                  <c:v>2018</c:v>
                </c:pt>
                <c:pt idx="5">
                  <c:v>2019</c:v>
                </c:pt>
                <c:pt idx="6">
                  <c:v>2020</c:v>
                </c:pt>
                <c:pt idx="7">
                  <c:v>2021</c:v>
                </c:pt>
                <c:pt idx="8">
                  <c:v>2022</c:v>
                </c:pt>
              </c:numCache>
            </c:numRef>
          </c:cat>
          <c:val>
            <c:numRef>
              <c:f>'E-Verbrauch Anteile Energieträg'!$I$7:$I$15</c:f>
              <c:numCache>
                <c:formatCode>#,##0</c:formatCode>
                <c:ptCount val="9"/>
                <c:pt idx="0">
                  <c:v>2687</c:v>
                </c:pt>
                <c:pt idx="1">
                  <c:v>2659</c:v>
                </c:pt>
                <c:pt idx="2">
                  <c:v>2640</c:v>
                </c:pt>
                <c:pt idx="3">
                  <c:v>2717</c:v>
                </c:pt>
                <c:pt idx="4">
                  <c:v>2757</c:v>
                </c:pt>
                <c:pt idx="5">
                  <c:v>2793</c:v>
                </c:pt>
                <c:pt idx="6">
                  <c:v>2693</c:v>
                </c:pt>
                <c:pt idx="7">
                  <c:v>2808</c:v>
                </c:pt>
                <c:pt idx="8">
                  <c:v>2769</c:v>
                </c:pt>
              </c:numCache>
            </c:numRef>
          </c:val>
          <c:extLst>
            <c:ext xmlns:c16="http://schemas.microsoft.com/office/drawing/2014/chart" uri="{C3380CC4-5D6E-409C-BE32-E72D297353CC}">
              <c16:uniqueId val="{00000006-C20B-4419-B71D-F94DC35EB5DE}"/>
            </c:ext>
          </c:extLst>
        </c:ser>
        <c:dLbls>
          <c:showLegendKey val="0"/>
          <c:showVal val="0"/>
          <c:showCatName val="0"/>
          <c:showSerName val="0"/>
          <c:showPercent val="0"/>
          <c:showBubbleSize val="0"/>
        </c:dLbls>
        <c:gapWidth val="150"/>
        <c:overlap val="100"/>
        <c:axId val="119990912"/>
        <c:axId val="122368384"/>
      </c:barChart>
      <c:catAx>
        <c:axId val="119990912"/>
        <c:scaling>
          <c:orientation val="minMax"/>
        </c:scaling>
        <c:delete val="0"/>
        <c:axPos val="b"/>
        <c:numFmt formatCode="General" sourceLinked="1"/>
        <c:majorTickMark val="out"/>
        <c:minorTickMark val="none"/>
        <c:tickLblPos val="nextTo"/>
        <c:crossAx val="122368384"/>
        <c:crosses val="autoZero"/>
        <c:auto val="1"/>
        <c:lblAlgn val="ctr"/>
        <c:lblOffset val="100"/>
        <c:noMultiLvlLbl val="0"/>
      </c:catAx>
      <c:valAx>
        <c:axId val="122368384"/>
        <c:scaling>
          <c:orientation val="minMax"/>
        </c:scaling>
        <c:delete val="0"/>
        <c:axPos val="l"/>
        <c:majorGridlines/>
        <c:numFmt formatCode="#,##0" sourceLinked="1"/>
        <c:majorTickMark val="out"/>
        <c:minorTickMark val="none"/>
        <c:tickLblPos val="nextTo"/>
        <c:crossAx val="119990912"/>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'MT4'!$B$3:$B$4</c:f>
              <c:strCache>
                <c:ptCount val="2"/>
                <c:pt idx="0">
                  <c:v>Jahr 2012</c:v>
                </c:pt>
              </c:strCache>
            </c:strRef>
          </c:tx>
          <c:invertIfNegative val="0"/>
          <c:cat>
            <c:strRef>
              <c:f>'MT4'!$A$5:$A$14</c:f>
              <c:strCache>
                <c:ptCount val="10"/>
                <c:pt idx="0">
                  <c:v>Wien </c:v>
                </c:pt>
                <c:pt idx="1">
                  <c:v> NÖ</c:v>
                </c:pt>
                <c:pt idx="2">
                  <c:v>Burgenland</c:v>
                </c:pt>
                <c:pt idx="3">
                  <c:v>Steiermark</c:v>
                </c:pt>
                <c:pt idx="4">
                  <c:v>Kärnten</c:v>
                </c:pt>
                <c:pt idx="5">
                  <c:v>OÖ</c:v>
                </c:pt>
                <c:pt idx="6">
                  <c:v>Salzburg</c:v>
                </c:pt>
                <c:pt idx="7">
                  <c:v>Tirol</c:v>
                </c:pt>
                <c:pt idx="8">
                  <c:v>Vorarlberg</c:v>
                </c:pt>
                <c:pt idx="9">
                  <c:v>Österreich</c:v>
                </c:pt>
              </c:strCache>
            </c:strRef>
          </c:cat>
          <c:val>
            <c:numRef>
              <c:f>'MT4'!$B$5:$B$14</c:f>
              <c:numCache>
                <c:formatCode>General</c:formatCode>
                <c:ptCount val="10"/>
                <c:pt idx="0">
                  <c:v>0.6</c:v>
                </c:pt>
                <c:pt idx="1">
                  <c:v>1.3</c:v>
                </c:pt>
                <c:pt idx="2">
                  <c:v>1.6</c:v>
                </c:pt>
                <c:pt idx="3">
                  <c:v>1.1000000000000001</c:v>
                </c:pt>
                <c:pt idx="4">
                  <c:v>0.2</c:v>
                </c:pt>
                <c:pt idx="5">
                  <c:v>0.8</c:v>
                </c:pt>
                <c:pt idx="6">
                  <c:v>1</c:v>
                </c:pt>
                <c:pt idx="7">
                  <c:v>1.6</c:v>
                </c:pt>
                <c:pt idx="8">
                  <c:v>1.5</c:v>
                </c:pt>
                <c:pt idx="9">
                  <c:v>1</c:v>
                </c:pt>
              </c:numCache>
            </c:numRef>
          </c:val>
          <c:extLst>
            <c:ext xmlns:c16="http://schemas.microsoft.com/office/drawing/2014/chart" uri="{C3380CC4-5D6E-409C-BE32-E72D297353CC}">
              <c16:uniqueId val="{00000000-5B9B-4DAF-88BF-DEE9CB67D84C}"/>
            </c:ext>
          </c:extLst>
        </c:ser>
        <c:ser>
          <c:idx val="1"/>
          <c:order val="1"/>
          <c:tx>
            <c:strRef>
              <c:f>'MT4'!$C$3:$C$4</c:f>
              <c:strCache>
                <c:ptCount val="2"/>
                <c:pt idx="0">
                  <c:v>Jahr 2013</c:v>
                </c:pt>
                <c:pt idx="1">
                  <c:v> </c:v>
                </c:pt>
              </c:strCache>
            </c:strRef>
          </c:tx>
          <c:invertIfNegative val="0"/>
          <c:cat>
            <c:strRef>
              <c:f>'MT4'!$A$5:$A$14</c:f>
              <c:strCache>
                <c:ptCount val="10"/>
                <c:pt idx="0">
                  <c:v>Wien </c:v>
                </c:pt>
                <c:pt idx="1">
                  <c:v> NÖ</c:v>
                </c:pt>
                <c:pt idx="2">
                  <c:v>Burgenland</c:v>
                </c:pt>
                <c:pt idx="3">
                  <c:v>Steiermark</c:v>
                </c:pt>
                <c:pt idx="4">
                  <c:v>Kärnten</c:v>
                </c:pt>
                <c:pt idx="5">
                  <c:v>OÖ</c:v>
                </c:pt>
                <c:pt idx="6">
                  <c:v>Salzburg</c:v>
                </c:pt>
                <c:pt idx="7">
                  <c:v>Tirol</c:v>
                </c:pt>
                <c:pt idx="8">
                  <c:v>Vorarlberg</c:v>
                </c:pt>
                <c:pt idx="9">
                  <c:v>Österreich</c:v>
                </c:pt>
              </c:strCache>
            </c:strRef>
          </c:cat>
          <c:val>
            <c:numRef>
              <c:f>'MT4'!$C$5:$C$14</c:f>
              <c:numCache>
                <c:formatCode>0.0</c:formatCode>
                <c:ptCount val="10"/>
                <c:pt idx="0">
                  <c:v>0.4</c:v>
                </c:pt>
                <c:pt idx="1">
                  <c:v>0.2</c:v>
                </c:pt>
                <c:pt idx="2">
                  <c:v>1.7</c:v>
                </c:pt>
                <c:pt idx="3">
                  <c:v>0.9</c:v>
                </c:pt>
                <c:pt idx="4">
                  <c:v>0.1</c:v>
                </c:pt>
                <c:pt idx="5">
                  <c:v>0.9</c:v>
                </c:pt>
                <c:pt idx="6">
                  <c:v>0</c:v>
                </c:pt>
                <c:pt idx="7">
                  <c:v>0.6</c:v>
                </c:pt>
                <c:pt idx="8">
                  <c:v>1.2</c:v>
                </c:pt>
                <c:pt idx="9">
                  <c:v>0.5</c:v>
                </c:pt>
              </c:numCache>
            </c:numRef>
          </c:val>
          <c:extLst>
            <c:ext xmlns:c16="http://schemas.microsoft.com/office/drawing/2014/chart" uri="{C3380CC4-5D6E-409C-BE32-E72D297353CC}">
              <c16:uniqueId val="{00000001-5B9B-4DAF-88BF-DEE9CB67D84C}"/>
            </c:ext>
          </c:extLst>
        </c:ser>
        <c:dLbls>
          <c:showLegendKey val="0"/>
          <c:showVal val="0"/>
          <c:showCatName val="0"/>
          <c:showSerName val="0"/>
          <c:showPercent val="0"/>
          <c:showBubbleSize val="0"/>
        </c:dLbls>
        <c:gapWidth val="150"/>
        <c:axId val="122447744"/>
        <c:axId val="122449280"/>
      </c:barChart>
      <c:catAx>
        <c:axId val="122447744"/>
        <c:scaling>
          <c:orientation val="minMax"/>
        </c:scaling>
        <c:delete val="0"/>
        <c:axPos val="b"/>
        <c:numFmt formatCode="General" sourceLinked="0"/>
        <c:majorTickMark val="out"/>
        <c:minorTickMark val="none"/>
        <c:tickLblPos val="nextTo"/>
        <c:crossAx val="122449280"/>
        <c:crosses val="autoZero"/>
        <c:auto val="1"/>
        <c:lblAlgn val="ctr"/>
        <c:lblOffset val="100"/>
        <c:noMultiLvlLbl val="0"/>
      </c:catAx>
      <c:valAx>
        <c:axId val="122449280"/>
        <c:scaling>
          <c:orientation val="minMax"/>
        </c:scaling>
        <c:delete val="0"/>
        <c:axPos val="l"/>
        <c:majorGridlines/>
        <c:numFmt formatCode="General" sourceLinked="1"/>
        <c:majorTickMark val="out"/>
        <c:minorTickMark val="none"/>
        <c:tickLblPos val="nextTo"/>
        <c:crossAx val="122447744"/>
        <c:crosses val="autoZero"/>
        <c:crossBetween val="between"/>
        <c:minorUnit val="4.0000000000000002E-4"/>
      </c:valAx>
    </c:plotArea>
    <c:legend>
      <c:legendPos val="r"/>
      <c:overlay val="0"/>
    </c:legend>
    <c:plotVisOnly val="1"/>
    <c:dispBlanksAs val="gap"/>
    <c:showDLblsOverMax val="0"/>
  </c:chart>
  <c:printSettings>
    <c:headerFooter/>
    <c:pageMargins b="0.78740157499999996" l="0.7" r="0.7" t="0.78740157499999996" header="0.3" footer="0.3"/>
    <c:pageSetup orientation="portrait"/>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'MT7 (2)'!$B$5:$B$6</c:f>
              <c:strCache>
                <c:ptCount val="2"/>
                <c:pt idx="0">
                  <c:v>2005</c:v>
                </c:pt>
              </c:strCache>
            </c:strRef>
          </c:tx>
          <c:invertIfNegative val="0"/>
          <c:cat>
            <c:strRef>
              <c:f>'MT7 (2)'!$A$7:$A$16</c:f>
              <c:strCache>
                <c:ptCount val="9"/>
                <c:pt idx="0">
                  <c:v>Oberösterreich</c:v>
                </c:pt>
                <c:pt idx="1">
                  <c:v>Salzburg</c:v>
                </c:pt>
                <c:pt idx="2">
                  <c:v>Vorarlberg</c:v>
                </c:pt>
                <c:pt idx="3">
                  <c:v>Wien</c:v>
                </c:pt>
                <c:pt idx="4">
                  <c:v>Kärnten</c:v>
                </c:pt>
                <c:pt idx="5">
                  <c:v>Steiermark</c:v>
                </c:pt>
                <c:pt idx="6">
                  <c:v>Tirol</c:v>
                </c:pt>
                <c:pt idx="7">
                  <c:v>Niederösterreich</c:v>
                </c:pt>
                <c:pt idx="8">
                  <c:v>Burgenland</c:v>
                </c:pt>
              </c:strCache>
            </c:strRef>
          </c:cat>
          <c:val>
            <c:numRef>
              <c:f>'MT7 (2)'!$B$7:$B$16</c:f>
              <c:numCache>
                <c:formatCode>#,##0</c:formatCode>
                <c:ptCount val="10"/>
                <c:pt idx="0">
                  <c:v>96236</c:v>
                </c:pt>
                <c:pt idx="1">
                  <c:v>18896</c:v>
                </c:pt>
                <c:pt idx="2">
                  <c:v>24551</c:v>
                </c:pt>
                <c:pt idx="3">
                  <c:v>45536</c:v>
                </c:pt>
                <c:pt idx="4">
                  <c:v>23867</c:v>
                </c:pt>
                <c:pt idx="5">
                  <c:v>74361</c:v>
                </c:pt>
                <c:pt idx="6">
                  <c:v>31615</c:v>
                </c:pt>
                <c:pt idx="7">
                  <c:v>65242</c:v>
                </c:pt>
                <c:pt idx="8">
                  <c:v>6921</c:v>
                </c:pt>
              </c:numCache>
            </c:numRef>
          </c:val>
          <c:extLst>
            <c:ext xmlns:c16="http://schemas.microsoft.com/office/drawing/2014/chart" uri="{C3380CC4-5D6E-409C-BE32-E72D297353CC}">
              <c16:uniqueId val="{00000000-B3D0-4DB1-B695-A83562B55D35}"/>
            </c:ext>
          </c:extLst>
        </c:ser>
        <c:ser>
          <c:idx val="1"/>
          <c:order val="1"/>
          <c:tx>
            <c:strRef>
              <c:f>'MT7 (2)'!$C$5:$C$6</c:f>
              <c:strCache>
                <c:ptCount val="2"/>
                <c:pt idx="0">
                  <c:v>2010</c:v>
                </c:pt>
              </c:strCache>
            </c:strRef>
          </c:tx>
          <c:spPr>
            <a:solidFill>
              <a:schemeClr val="bg2">
                <a:lumMod val="50000"/>
              </a:schemeClr>
            </a:solidFill>
          </c:spPr>
          <c:invertIfNegative val="0"/>
          <c:cat>
            <c:strRef>
              <c:f>'MT7 (2)'!$A$7:$A$16</c:f>
              <c:strCache>
                <c:ptCount val="9"/>
                <c:pt idx="0">
                  <c:v>Oberösterreich</c:v>
                </c:pt>
                <c:pt idx="1">
                  <c:v>Salzburg</c:v>
                </c:pt>
                <c:pt idx="2">
                  <c:v>Vorarlberg</c:v>
                </c:pt>
                <c:pt idx="3">
                  <c:v>Wien</c:v>
                </c:pt>
                <c:pt idx="4">
                  <c:v>Kärnten</c:v>
                </c:pt>
                <c:pt idx="5">
                  <c:v>Steiermark</c:v>
                </c:pt>
                <c:pt idx="6">
                  <c:v>Tirol</c:v>
                </c:pt>
                <c:pt idx="7">
                  <c:v>Niederösterreich</c:v>
                </c:pt>
                <c:pt idx="8">
                  <c:v>Burgenland</c:v>
                </c:pt>
              </c:strCache>
            </c:strRef>
          </c:cat>
          <c:val>
            <c:numRef>
              <c:f>'MT7 (2)'!$C$7:$C$16</c:f>
              <c:numCache>
                <c:formatCode>#,##0</c:formatCode>
                <c:ptCount val="10"/>
                <c:pt idx="0">
                  <c:v>94977</c:v>
                </c:pt>
                <c:pt idx="1">
                  <c:v>17864</c:v>
                </c:pt>
                <c:pt idx="2">
                  <c:v>25074</c:v>
                </c:pt>
                <c:pt idx="3">
                  <c:v>40036</c:v>
                </c:pt>
                <c:pt idx="4">
                  <c:v>22750</c:v>
                </c:pt>
                <c:pt idx="5">
                  <c:v>68443</c:v>
                </c:pt>
                <c:pt idx="6">
                  <c:v>30802</c:v>
                </c:pt>
                <c:pt idx="7">
                  <c:v>63881</c:v>
                </c:pt>
                <c:pt idx="8">
                  <c:v>7008</c:v>
                </c:pt>
              </c:numCache>
            </c:numRef>
          </c:val>
          <c:extLst>
            <c:ext xmlns:c16="http://schemas.microsoft.com/office/drawing/2014/chart" uri="{C3380CC4-5D6E-409C-BE32-E72D297353CC}">
              <c16:uniqueId val="{00000001-B3D0-4DB1-B695-A83562B55D35}"/>
            </c:ext>
          </c:extLst>
        </c:ser>
        <c:ser>
          <c:idx val="2"/>
          <c:order val="2"/>
          <c:tx>
            <c:strRef>
              <c:f>'MT7 (2)'!$D$5:$D$6</c:f>
              <c:strCache>
                <c:ptCount val="2"/>
                <c:pt idx="0">
                  <c:v>2011</c:v>
                </c:pt>
              </c:strCache>
            </c:strRef>
          </c:tx>
          <c:invertIfNegative val="0"/>
          <c:cat>
            <c:strRef>
              <c:f>'MT7 (2)'!$A$7:$A$16</c:f>
              <c:strCache>
                <c:ptCount val="9"/>
                <c:pt idx="0">
                  <c:v>Oberösterreich</c:v>
                </c:pt>
                <c:pt idx="1">
                  <c:v>Salzburg</c:v>
                </c:pt>
                <c:pt idx="2">
                  <c:v>Vorarlberg</c:v>
                </c:pt>
                <c:pt idx="3">
                  <c:v>Wien</c:v>
                </c:pt>
                <c:pt idx="4">
                  <c:v>Kärnten</c:v>
                </c:pt>
                <c:pt idx="5">
                  <c:v>Steiermark</c:v>
                </c:pt>
                <c:pt idx="6">
                  <c:v>Tirol</c:v>
                </c:pt>
                <c:pt idx="7">
                  <c:v>Niederösterreich</c:v>
                </c:pt>
                <c:pt idx="8">
                  <c:v>Burgenland</c:v>
                </c:pt>
              </c:strCache>
            </c:strRef>
          </c:cat>
          <c:val>
            <c:numRef>
              <c:f>'MT7 (2)'!$D$7:$D$16</c:f>
              <c:numCache>
                <c:formatCode>#,##0</c:formatCode>
                <c:ptCount val="10"/>
                <c:pt idx="0">
                  <c:v>97077</c:v>
                </c:pt>
                <c:pt idx="1">
                  <c:v>18436</c:v>
                </c:pt>
                <c:pt idx="2">
                  <c:v>25767</c:v>
                </c:pt>
                <c:pt idx="3">
                  <c:v>38490</c:v>
                </c:pt>
                <c:pt idx="4">
                  <c:v>23654</c:v>
                </c:pt>
                <c:pt idx="5">
                  <c:v>70076</c:v>
                </c:pt>
                <c:pt idx="6">
                  <c:v>32334</c:v>
                </c:pt>
                <c:pt idx="7">
                  <c:v>65630</c:v>
                </c:pt>
                <c:pt idx="8">
                  <c:v>7318</c:v>
                </c:pt>
              </c:numCache>
            </c:numRef>
          </c:val>
          <c:extLst>
            <c:ext xmlns:c16="http://schemas.microsoft.com/office/drawing/2014/chart" uri="{C3380CC4-5D6E-409C-BE32-E72D297353CC}">
              <c16:uniqueId val="{00000002-B3D0-4DB1-B695-A83562B55D35}"/>
            </c:ext>
          </c:extLst>
        </c:ser>
        <c:ser>
          <c:idx val="3"/>
          <c:order val="3"/>
          <c:tx>
            <c:strRef>
              <c:f>'MT7 (2)'!$E$5:$E$6</c:f>
              <c:strCache>
                <c:ptCount val="2"/>
                <c:pt idx="0">
                  <c:v>2012</c:v>
                </c:pt>
              </c:strCache>
            </c:strRef>
          </c:tx>
          <c:invertIfNegative val="0"/>
          <c:cat>
            <c:strRef>
              <c:f>'MT7 (2)'!$A$7:$A$16</c:f>
              <c:strCache>
                <c:ptCount val="9"/>
                <c:pt idx="0">
                  <c:v>Oberösterreich</c:v>
                </c:pt>
                <c:pt idx="1">
                  <c:v>Salzburg</c:v>
                </c:pt>
                <c:pt idx="2">
                  <c:v>Vorarlberg</c:v>
                </c:pt>
                <c:pt idx="3">
                  <c:v>Wien</c:v>
                </c:pt>
                <c:pt idx="4">
                  <c:v>Kärnten</c:v>
                </c:pt>
                <c:pt idx="5">
                  <c:v>Steiermark</c:v>
                </c:pt>
                <c:pt idx="6">
                  <c:v>Tirol</c:v>
                </c:pt>
                <c:pt idx="7">
                  <c:v>Niederösterreich</c:v>
                </c:pt>
                <c:pt idx="8">
                  <c:v>Burgenland</c:v>
                </c:pt>
              </c:strCache>
            </c:strRef>
          </c:cat>
          <c:val>
            <c:numRef>
              <c:f>'MT7 (2)'!$E$7:$E$16</c:f>
              <c:numCache>
                <c:formatCode>#,##0</c:formatCode>
                <c:ptCount val="10"/>
                <c:pt idx="0">
                  <c:v>100593</c:v>
                </c:pt>
                <c:pt idx="1">
                  <c:v>18381</c:v>
                </c:pt>
                <c:pt idx="2">
                  <c:v>26095</c:v>
                </c:pt>
                <c:pt idx="3">
                  <c:v>37577</c:v>
                </c:pt>
                <c:pt idx="4">
                  <c:v>23962</c:v>
                </c:pt>
                <c:pt idx="5">
                  <c:v>70611</c:v>
                </c:pt>
                <c:pt idx="6">
                  <c:v>32905</c:v>
                </c:pt>
                <c:pt idx="7">
                  <c:v>65953</c:v>
                </c:pt>
                <c:pt idx="8">
                  <c:v>7511</c:v>
                </c:pt>
              </c:numCache>
            </c:numRef>
          </c:val>
          <c:extLst>
            <c:ext xmlns:c16="http://schemas.microsoft.com/office/drawing/2014/chart" uri="{C3380CC4-5D6E-409C-BE32-E72D297353CC}">
              <c16:uniqueId val="{00000003-B3D0-4DB1-B695-A83562B55D35}"/>
            </c:ext>
          </c:extLst>
        </c:ser>
        <c:ser>
          <c:idx val="4"/>
          <c:order val="4"/>
          <c:tx>
            <c:strRef>
              <c:f>'MT7 (2)'!$F$5:$F$6</c:f>
              <c:strCache>
                <c:ptCount val="2"/>
                <c:pt idx="0">
                  <c:v>2013</c:v>
                </c:pt>
              </c:strCache>
            </c:strRef>
          </c:tx>
          <c:spPr>
            <a:solidFill>
              <a:srgbClr val="FF0000"/>
            </a:solidFill>
          </c:spPr>
          <c:invertIfNegative val="0"/>
          <c:cat>
            <c:strRef>
              <c:f>'MT7 (2)'!$A$7:$A$16</c:f>
              <c:strCache>
                <c:ptCount val="9"/>
                <c:pt idx="0">
                  <c:v>Oberösterreich</c:v>
                </c:pt>
                <c:pt idx="1">
                  <c:v>Salzburg</c:v>
                </c:pt>
                <c:pt idx="2">
                  <c:v>Vorarlberg</c:v>
                </c:pt>
                <c:pt idx="3">
                  <c:v>Wien</c:v>
                </c:pt>
                <c:pt idx="4">
                  <c:v>Kärnten</c:v>
                </c:pt>
                <c:pt idx="5">
                  <c:v>Steiermark</c:v>
                </c:pt>
                <c:pt idx="6">
                  <c:v>Tirol</c:v>
                </c:pt>
                <c:pt idx="7">
                  <c:v>Niederösterreich</c:v>
                </c:pt>
                <c:pt idx="8">
                  <c:v>Burgenland</c:v>
                </c:pt>
              </c:strCache>
            </c:strRef>
          </c:cat>
          <c:val>
            <c:numRef>
              <c:f>'MT7 (2)'!$F$7:$F$16</c:f>
              <c:numCache>
                <c:formatCode>#,##0</c:formatCode>
                <c:ptCount val="10"/>
                <c:pt idx="0">
                  <c:v>100778</c:v>
                </c:pt>
                <c:pt idx="1">
                  <c:v>17693</c:v>
                </c:pt>
                <c:pt idx="2">
                  <c:v>26445</c:v>
                </c:pt>
                <c:pt idx="3">
                  <c:v>35807</c:v>
                </c:pt>
                <c:pt idx="4">
                  <c:v>23277</c:v>
                </c:pt>
                <c:pt idx="5">
                  <c:v>67211</c:v>
                </c:pt>
                <c:pt idx="6">
                  <c:v>32914</c:v>
                </c:pt>
                <c:pt idx="7">
                  <c:v>65557</c:v>
                </c:pt>
                <c:pt idx="8">
                  <c:v>7597</c:v>
                </c:pt>
              </c:numCache>
            </c:numRef>
          </c:val>
          <c:extLst>
            <c:ext xmlns:c16="http://schemas.microsoft.com/office/drawing/2014/chart" uri="{C3380CC4-5D6E-409C-BE32-E72D297353CC}">
              <c16:uniqueId val="{00000004-B3D0-4DB1-B695-A83562B55D35}"/>
            </c:ext>
          </c:extLst>
        </c:ser>
        <c:dLbls>
          <c:showLegendKey val="0"/>
          <c:showVal val="0"/>
          <c:showCatName val="0"/>
          <c:showSerName val="0"/>
          <c:showPercent val="0"/>
          <c:showBubbleSize val="0"/>
        </c:dLbls>
        <c:gapWidth val="150"/>
        <c:axId val="122541184"/>
        <c:axId val="122542720"/>
      </c:barChart>
      <c:catAx>
        <c:axId val="122541184"/>
        <c:scaling>
          <c:orientation val="minMax"/>
        </c:scaling>
        <c:delete val="0"/>
        <c:axPos val="b"/>
        <c:numFmt formatCode="General" sourceLinked="0"/>
        <c:majorTickMark val="out"/>
        <c:minorTickMark val="none"/>
        <c:tickLblPos val="nextTo"/>
        <c:crossAx val="122542720"/>
        <c:crosses val="autoZero"/>
        <c:auto val="1"/>
        <c:lblAlgn val="ctr"/>
        <c:lblOffset val="100"/>
        <c:noMultiLvlLbl val="0"/>
      </c:catAx>
      <c:valAx>
        <c:axId val="122542720"/>
        <c:scaling>
          <c:orientation val="minMax"/>
        </c:scaling>
        <c:delete val="0"/>
        <c:axPos val="l"/>
        <c:majorGridlines/>
        <c:numFmt formatCode="#,##0" sourceLinked="1"/>
        <c:majorTickMark val="out"/>
        <c:minorTickMark val="none"/>
        <c:tickLblPos val="nextTo"/>
        <c:crossAx val="122541184"/>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'Erwerbstätige n Alter'!$C$4:$G$4</c:f>
              <c:strCache>
                <c:ptCount val="5"/>
                <c:pt idx="0">
                  <c:v>15-19 Jahre</c:v>
                </c:pt>
                <c:pt idx="1">
                  <c:v>20-29 Jahre</c:v>
                </c:pt>
                <c:pt idx="2">
                  <c:v>30-44 Jahre</c:v>
                </c:pt>
                <c:pt idx="3">
                  <c:v>45-59 Jahre</c:v>
                </c:pt>
                <c:pt idx="4">
                  <c:v>60 und mehr</c:v>
                </c:pt>
              </c:strCache>
            </c:strRef>
          </c:cat>
          <c:val>
            <c:numRef>
              <c:f>'Erwerbstätige n Alter'!$C$6:$G$6</c:f>
              <c:numCache>
                <c:formatCode>#,##0.0</c:formatCode>
                <c:ptCount val="5"/>
                <c:pt idx="0">
                  <c:v>4.6049340330570407</c:v>
                </c:pt>
                <c:pt idx="1">
                  <c:v>17.958703222325763</c:v>
                </c:pt>
                <c:pt idx="2">
                  <c:v>33.804992888322133</c:v>
                </c:pt>
                <c:pt idx="3">
                  <c:v>36.329883760851438</c:v>
                </c:pt>
                <c:pt idx="4">
                  <c:v>7.3014860954436216</c:v>
                </c:pt>
              </c:numCache>
            </c:numRef>
          </c:val>
          <c:extLst>
            <c:ext xmlns:c16="http://schemas.microsoft.com/office/drawing/2014/chart" uri="{C3380CC4-5D6E-409C-BE32-E72D297353CC}">
              <c16:uniqueId val="{00000000-D527-4F24-8D6B-421DFB875CAF}"/>
            </c:ext>
          </c:extLst>
        </c:ser>
        <c:dLbls>
          <c:showLegendKey val="0"/>
          <c:showVal val="0"/>
          <c:showCatName val="0"/>
          <c:showSerName val="0"/>
          <c:showPercent val="0"/>
          <c:showBubbleSize val="0"/>
        </c:dLbls>
        <c:gapWidth val="150"/>
        <c:axId val="109185280"/>
        <c:axId val="109191552"/>
      </c:barChart>
      <c:catAx>
        <c:axId val="1091852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de-AT" sz="800" b="0"/>
                  <a:t>Prozen</a:t>
                </a:r>
                <a:r>
                  <a:rPr lang="de-AT"/>
                  <a:t>t</a:t>
                </a:r>
              </a:p>
            </c:rich>
          </c:tx>
          <c:layout>
            <c:manualLayout>
              <c:xMode val="edge"/>
              <c:yMode val="edge"/>
              <c:x val="1.65001973056223E-3"/>
              <c:y val="0.8798583667607590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de-DE"/>
            </a:p>
          </c:txPr>
        </c:title>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de-DE"/>
          </a:p>
        </c:txPr>
        <c:crossAx val="109191552"/>
        <c:crosses val="autoZero"/>
        <c:auto val="1"/>
        <c:lblAlgn val="ctr"/>
        <c:lblOffset val="100"/>
        <c:noMultiLvlLbl val="0"/>
      </c:catAx>
      <c:valAx>
        <c:axId val="109191552"/>
        <c:scaling>
          <c:orientation val="minMax"/>
        </c:scaling>
        <c:delete val="0"/>
        <c:axPos val="l"/>
        <c:majorGridlines>
          <c:spPr>
            <a:ln w="9525" cap="flat" cmpd="sng" algn="ctr">
              <a:solidFill>
                <a:schemeClr val="bg1">
                  <a:lumMod val="85000"/>
                </a:schemeClr>
              </a:solidFill>
              <a:prstDash val="solid"/>
              <a:round/>
            </a:ln>
            <a:effectLst/>
          </c:spPr>
        </c:majorGridlines>
        <c:numFmt formatCode="#,##0.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10918528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'Steuern, Abgaben, Landesbudget'!$N$5:$N$13</c:f>
              <c:strCache>
                <c:ptCount val="9"/>
                <c:pt idx="0">
                  <c:v>Vorarlberg</c:v>
                </c:pt>
                <c:pt idx="1">
                  <c:v>NÖ</c:v>
                </c:pt>
                <c:pt idx="2">
                  <c:v>Wien</c:v>
                </c:pt>
                <c:pt idx="3">
                  <c:v>Salzburg</c:v>
                </c:pt>
                <c:pt idx="4">
                  <c:v>OÖ</c:v>
                </c:pt>
                <c:pt idx="5">
                  <c:v>Tirol</c:v>
                </c:pt>
                <c:pt idx="6">
                  <c:v>Burgenland</c:v>
                </c:pt>
                <c:pt idx="7">
                  <c:v>Kärnten</c:v>
                </c:pt>
                <c:pt idx="8">
                  <c:v>Steiermark</c:v>
                </c:pt>
              </c:strCache>
            </c:strRef>
          </c:cat>
          <c:val>
            <c:numRef>
              <c:f>'Steuern, Abgaben, Landesbudget'!$O$5:$O$13</c:f>
              <c:numCache>
                <c:formatCode>General</c:formatCode>
                <c:ptCount val="9"/>
              </c:numCache>
            </c:numRef>
          </c:val>
          <c:extLst>
            <c:ext xmlns:c16="http://schemas.microsoft.com/office/drawing/2014/chart" uri="{C3380CC4-5D6E-409C-BE32-E72D297353CC}">
              <c16:uniqueId val="{00000000-5F3B-4955-8D5D-A50021D66DF4}"/>
            </c:ext>
          </c:extLst>
        </c:ser>
        <c:ser>
          <c:idx val="1"/>
          <c:order val="1"/>
          <c:spPr>
            <a:solidFill>
              <a:schemeClr val="tx1">
                <a:lumMod val="65000"/>
                <a:lumOff val="35000"/>
              </a:schemeClr>
            </a:solidFill>
          </c:spPr>
          <c:invertIfNegative val="0"/>
          <c:dPt>
            <c:idx val="0"/>
            <c:invertIfNegative val="0"/>
            <c:bubble3D val="0"/>
            <c:spPr>
              <a:solidFill>
                <a:srgbClr val="E30613"/>
              </a:solidFill>
            </c:spPr>
            <c:extLst>
              <c:ext xmlns:c16="http://schemas.microsoft.com/office/drawing/2014/chart" uri="{C3380CC4-5D6E-409C-BE32-E72D297353CC}">
                <c16:uniqueId val="{00000002-5F3B-4955-8D5D-A50021D66DF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'Steuern, Abgaben, Landesbudget'!$N$5:$N$13</c:f>
              <c:strCache>
                <c:ptCount val="9"/>
                <c:pt idx="0">
                  <c:v>Vorarlberg</c:v>
                </c:pt>
                <c:pt idx="1">
                  <c:v>NÖ</c:v>
                </c:pt>
                <c:pt idx="2">
                  <c:v>Wien</c:v>
                </c:pt>
                <c:pt idx="3">
                  <c:v>Salzburg</c:v>
                </c:pt>
                <c:pt idx="4">
                  <c:v>OÖ</c:v>
                </c:pt>
                <c:pt idx="5">
                  <c:v>Tirol</c:v>
                </c:pt>
                <c:pt idx="6">
                  <c:v>Burgenland</c:v>
                </c:pt>
                <c:pt idx="7">
                  <c:v>Kärnten</c:v>
                </c:pt>
                <c:pt idx="8">
                  <c:v>Steiermark</c:v>
                </c:pt>
              </c:strCache>
            </c:strRef>
          </c:cat>
          <c:val>
            <c:numRef>
              <c:f>'Steuern, Abgaben, Landesbudget'!$P$5:$P$13</c:f>
              <c:numCache>
                <c:formatCode>#,##0</c:formatCode>
                <c:ptCount val="9"/>
                <c:pt idx="0">
                  <c:v>4405</c:v>
                </c:pt>
                <c:pt idx="1">
                  <c:v>4060</c:v>
                </c:pt>
                <c:pt idx="2">
                  <c:v>4039</c:v>
                </c:pt>
                <c:pt idx="3">
                  <c:v>3917</c:v>
                </c:pt>
                <c:pt idx="4">
                  <c:v>3740</c:v>
                </c:pt>
                <c:pt idx="5">
                  <c:v>3666</c:v>
                </c:pt>
                <c:pt idx="6">
                  <c:v>3515</c:v>
                </c:pt>
                <c:pt idx="7">
                  <c:v>3438</c:v>
                </c:pt>
                <c:pt idx="8">
                  <c:v>3418</c:v>
                </c:pt>
              </c:numCache>
            </c:numRef>
          </c:val>
          <c:extLst>
            <c:ext xmlns:c16="http://schemas.microsoft.com/office/drawing/2014/chart" uri="{C3380CC4-5D6E-409C-BE32-E72D297353CC}">
              <c16:uniqueId val="{00000003-5F3B-4955-8D5D-A50021D66DF4}"/>
            </c:ext>
          </c:extLst>
        </c:ser>
        <c:dLbls>
          <c:showLegendKey val="0"/>
          <c:showVal val="0"/>
          <c:showCatName val="0"/>
          <c:showSerName val="0"/>
          <c:showPercent val="0"/>
          <c:showBubbleSize val="0"/>
        </c:dLbls>
        <c:gapWidth val="150"/>
        <c:axId val="109301120"/>
        <c:axId val="109311104"/>
      </c:barChart>
      <c:catAx>
        <c:axId val="109301120"/>
        <c:scaling>
          <c:orientation val="minMax"/>
        </c:scaling>
        <c:delete val="0"/>
        <c:axPos val="b"/>
        <c:numFmt formatCode="General" sourceLinked="0"/>
        <c:majorTickMark val="out"/>
        <c:minorTickMark val="none"/>
        <c:tickLblPos val="nextTo"/>
        <c:crossAx val="109311104"/>
        <c:crosses val="autoZero"/>
        <c:auto val="1"/>
        <c:lblAlgn val="ctr"/>
        <c:lblOffset val="100"/>
        <c:noMultiLvlLbl val="0"/>
      </c:catAx>
      <c:valAx>
        <c:axId val="109311104"/>
        <c:scaling>
          <c:orientation val="minMax"/>
        </c:scaling>
        <c:delete val="0"/>
        <c:axPos val="l"/>
        <c:majorGridlines/>
        <c:numFmt formatCode="General" sourceLinked="1"/>
        <c:majorTickMark val="out"/>
        <c:minorTickMark val="none"/>
        <c:tickLblPos val="nextTo"/>
        <c:crossAx val="109301120"/>
        <c:crosses val="autoZero"/>
        <c:crossBetween val="between"/>
      </c:valAx>
    </c:plotArea>
    <c:plotVisOnly val="1"/>
    <c:dispBlanksAs val="gap"/>
    <c:showDLblsOverMax val="0"/>
  </c:chart>
  <c:printSettings>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'Arbeitskosten, Preisindizes'!$J$17:$K$17</c:f>
              <c:strCache>
                <c:ptCount val="2"/>
                <c:pt idx="0">
                  <c:v>2013</c:v>
                </c:pt>
              </c:strCache>
            </c:strRef>
          </c:tx>
          <c:spPr>
            <a:solidFill>
              <a:schemeClr val="bg1">
                <a:lumMod val="65000"/>
              </a:schemeClr>
            </a:solidFill>
            <a:ln>
              <a:solidFill>
                <a:schemeClr val="tx1">
                  <a:lumMod val="50000"/>
                  <a:lumOff val="50000"/>
                </a:schemeClr>
              </a:solidFill>
            </a:ln>
          </c:spPr>
          <c:invertIfNegative val="0"/>
          <c:cat>
            <c:strRef>
              <c:f>'Arbeitskosten, Preisindizes'!$M$16:$O$16</c:f>
              <c:strCache>
                <c:ptCount val="3"/>
                <c:pt idx="0">
                  <c:v>VPI</c:v>
                </c:pt>
                <c:pt idx="1">
                  <c:v>Baukosten</c:v>
                </c:pt>
                <c:pt idx="2">
                  <c:v>Baupreise</c:v>
                </c:pt>
              </c:strCache>
            </c:strRef>
          </c:cat>
          <c:val>
            <c:numRef>
              <c:f>'Arbeitskosten, Preisindizes'!$M$17:$O$17</c:f>
              <c:numCache>
                <c:formatCode>0.0%</c:formatCode>
                <c:ptCount val="3"/>
                <c:pt idx="0">
                  <c:v>0.02</c:v>
                </c:pt>
                <c:pt idx="1">
                  <c:v>1.7999999999999999E-2</c:v>
                </c:pt>
                <c:pt idx="2">
                  <c:v>2.5999999999999999E-2</c:v>
                </c:pt>
              </c:numCache>
            </c:numRef>
          </c:val>
          <c:extLst>
            <c:ext xmlns:c16="http://schemas.microsoft.com/office/drawing/2014/chart" uri="{C3380CC4-5D6E-409C-BE32-E72D297353CC}">
              <c16:uniqueId val="{00000000-5CA0-44EF-8C2C-BA3C4B39BD63}"/>
            </c:ext>
          </c:extLst>
        </c:ser>
        <c:ser>
          <c:idx val="1"/>
          <c:order val="1"/>
          <c:tx>
            <c:strRef>
              <c:f>'Arbeitskosten, Preisindizes'!$J$18:$K$18</c:f>
              <c:strCache>
                <c:ptCount val="2"/>
                <c:pt idx="0">
                  <c:v>2014</c:v>
                </c:pt>
              </c:strCache>
            </c:strRef>
          </c:tx>
          <c:spPr>
            <a:solidFill>
              <a:schemeClr val="tx1">
                <a:lumMod val="50000"/>
                <a:lumOff val="50000"/>
              </a:schemeClr>
            </a:solidFill>
          </c:spPr>
          <c:invertIfNegative val="0"/>
          <c:cat>
            <c:strRef>
              <c:f>'Arbeitskosten, Preisindizes'!$M$16:$O$16</c:f>
              <c:strCache>
                <c:ptCount val="3"/>
                <c:pt idx="0">
                  <c:v>VPI</c:v>
                </c:pt>
                <c:pt idx="1">
                  <c:v>Baukosten</c:v>
                </c:pt>
                <c:pt idx="2">
                  <c:v>Baupreise</c:v>
                </c:pt>
              </c:strCache>
            </c:strRef>
          </c:cat>
          <c:val>
            <c:numRef>
              <c:f>'Arbeitskosten, Preisindizes'!$M$18:$O$18</c:f>
              <c:numCache>
                <c:formatCode>0.0%</c:formatCode>
                <c:ptCount val="3"/>
                <c:pt idx="0">
                  <c:v>1.7000000000000001E-2</c:v>
                </c:pt>
                <c:pt idx="1">
                  <c:v>1.0999999999999999E-2</c:v>
                </c:pt>
                <c:pt idx="2">
                  <c:v>2.3E-2</c:v>
                </c:pt>
              </c:numCache>
            </c:numRef>
          </c:val>
          <c:extLst>
            <c:ext xmlns:c16="http://schemas.microsoft.com/office/drawing/2014/chart" uri="{C3380CC4-5D6E-409C-BE32-E72D297353CC}">
              <c16:uniqueId val="{00000001-5CA0-44EF-8C2C-BA3C4B39BD63}"/>
            </c:ext>
          </c:extLst>
        </c:ser>
        <c:ser>
          <c:idx val="2"/>
          <c:order val="2"/>
          <c:tx>
            <c:strRef>
              <c:f>'Arbeitskosten, Preisindizes'!$J$19:$K$19</c:f>
              <c:strCache>
                <c:ptCount val="2"/>
                <c:pt idx="0">
                  <c:v>2016</c:v>
                </c:pt>
              </c:strCache>
            </c:strRef>
          </c:tx>
          <c:spPr>
            <a:solidFill>
              <a:schemeClr val="tx1">
                <a:lumMod val="65000"/>
                <a:lumOff val="35000"/>
              </a:schemeClr>
            </a:solidFill>
          </c:spPr>
          <c:invertIfNegative val="0"/>
          <c:cat>
            <c:strRef>
              <c:f>'Arbeitskosten, Preisindizes'!$M$16:$O$16</c:f>
              <c:strCache>
                <c:ptCount val="3"/>
                <c:pt idx="0">
                  <c:v>VPI</c:v>
                </c:pt>
                <c:pt idx="1">
                  <c:v>Baukosten</c:v>
                </c:pt>
                <c:pt idx="2">
                  <c:v>Baupreise</c:v>
                </c:pt>
              </c:strCache>
            </c:strRef>
          </c:cat>
          <c:val>
            <c:numRef>
              <c:f>'Arbeitskosten, Preisindizes'!$M$19:$O$19</c:f>
              <c:numCache>
                <c:formatCode>0.0%</c:formatCode>
                <c:ptCount val="3"/>
                <c:pt idx="0">
                  <c:v>8.9999999999999993E-3</c:v>
                </c:pt>
                <c:pt idx="1">
                  <c:v>6.0000000000000001E-3</c:v>
                </c:pt>
                <c:pt idx="2">
                  <c:v>1.9E-2</c:v>
                </c:pt>
              </c:numCache>
            </c:numRef>
          </c:val>
          <c:extLst>
            <c:ext xmlns:c16="http://schemas.microsoft.com/office/drawing/2014/chart" uri="{C3380CC4-5D6E-409C-BE32-E72D297353CC}">
              <c16:uniqueId val="{00000002-5CA0-44EF-8C2C-BA3C4B39BD63}"/>
            </c:ext>
          </c:extLst>
        </c:ser>
        <c:ser>
          <c:idx val="3"/>
          <c:order val="3"/>
          <c:tx>
            <c:strRef>
              <c:f>'Arbeitskosten, Preisindizes'!$J$20:$K$20</c:f>
              <c:strCache>
                <c:ptCount val="2"/>
                <c:pt idx="0">
                  <c:v>2018</c:v>
                </c:pt>
              </c:strCache>
            </c:strRef>
          </c:tx>
          <c:spPr>
            <a:solidFill>
              <a:schemeClr val="tx1">
                <a:lumMod val="75000"/>
                <a:lumOff val="25000"/>
              </a:schemeClr>
            </a:solidFill>
          </c:spPr>
          <c:invertIfNegative val="0"/>
          <c:cat>
            <c:strRef>
              <c:f>'Arbeitskosten, Preisindizes'!$M$16:$O$16</c:f>
              <c:strCache>
                <c:ptCount val="3"/>
                <c:pt idx="0">
                  <c:v>VPI</c:v>
                </c:pt>
                <c:pt idx="1">
                  <c:v>Baukosten</c:v>
                </c:pt>
                <c:pt idx="2">
                  <c:v>Baupreise</c:v>
                </c:pt>
              </c:strCache>
            </c:strRef>
          </c:cat>
          <c:val>
            <c:numRef>
              <c:f>'Arbeitskosten, Preisindizes'!$M$20:$O$20</c:f>
              <c:numCache>
                <c:formatCode>0.0%</c:formatCode>
                <c:ptCount val="3"/>
                <c:pt idx="0">
                  <c:v>0.02</c:v>
                </c:pt>
                <c:pt idx="1">
                  <c:v>2.9000000000000001E-2</c:v>
                </c:pt>
                <c:pt idx="2">
                  <c:v>3.2000000000000001E-2</c:v>
                </c:pt>
              </c:numCache>
            </c:numRef>
          </c:val>
          <c:extLst>
            <c:ext xmlns:c16="http://schemas.microsoft.com/office/drawing/2014/chart" uri="{C3380CC4-5D6E-409C-BE32-E72D297353CC}">
              <c16:uniqueId val="{00000003-5CA0-44EF-8C2C-BA3C4B39BD63}"/>
            </c:ext>
          </c:extLst>
        </c:ser>
        <c:ser>
          <c:idx val="4"/>
          <c:order val="4"/>
          <c:tx>
            <c:strRef>
              <c:f>'Arbeitskosten, Preisindizes'!$J$21:$K$21</c:f>
              <c:strCache>
                <c:ptCount val="2"/>
                <c:pt idx="0">
                  <c:v>2020</c:v>
                </c:pt>
              </c:strCache>
            </c:strRef>
          </c:tx>
          <c:spPr>
            <a:solidFill>
              <a:schemeClr val="tx1">
                <a:lumMod val="85000"/>
                <a:lumOff val="15000"/>
              </a:schemeClr>
            </a:solidFill>
          </c:spPr>
          <c:invertIfNegative val="0"/>
          <c:cat>
            <c:strRef>
              <c:f>'Arbeitskosten, Preisindizes'!$M$16:$O$16</c:f>
              <c:strCache>
                <c:ptCount val="3"/>
                <c:pt idx="0">
                  <c:v>VPI</c:v>
                </c:pt>
                <c:pt idx="1">
                  <c:v>Baukosten</c:v>
                </c:pt>
                <c:pt idx="2">
                  <c:v>Baupreise</c:v>
                </c:pt>
              </c:strCache>
            </c:strRef>
          </c:cat>
          <c:val>
            <c:numRef>
              <c:f>'Arbeitskosten, Preisindizes'!$M$21:$O$21</c:f>
              <c:numCache>
                <c:formatCode>0.0%</c:formatCode>
                <c:ptCount val="3"/>
                <c:pt idx="0">
                  <c:v>1.4E-2</c:v>
                </c:pt>
                <c:pt idx="1">
                  <c:v>8.0000000000000002E-3</c:v>
                </c:pt>
                <c:pt idx="2">
                  <c:v>3.2000000000000001E-2</c:v>
                </c:pt>
              </c:numCache>
            </c:numRef>
          </c:val>
          <c:extLst>
            <c:ext xmlns:c16="http://schemas.microsoft.com/office/drawing/2014/chart" uri="{C3380CC4-5D6E-409C-BE32-E72D297353CC}">
              <c16:uniqueId val="{00000004-5CA0-44EF-8C2C-BA3C4B39BD63}"/>
            </c:ext>
          </c:extLst>
        </c:ser>
        <c:ser>
          <c:idx val="5"/>
          <c:order val="5"/>
          <c:tx>
            <c:strRef>
              <c:f>'Arbeitskosten, Preisindizes'!$J$22:$K$22</c:f>
              <c:strCache>
                <c:ptCount val="2"/>
                <c:pt idx="0">
                  <c:v>2022</c:v>
                </c:pt>
              </c:strCache>
            </c:strRef>
          </c:tx>
          <c:spPr>
            <a:solidFill>
              <a:schemeClr val="tx1">
                <a:lumMod val="95000"/>
                <a:lumOff val="5000"/>
              </a:schemeClr>
            </a:solidFill>
          </c:spPr>
          <c:invertIfNegative val="0"/>
          <c:cat>
            <c:strRef>
              <c:f>'Arbeitskosten, Preisindizes'!$M$16:$O$16</c:f>
              <c:strCache>
                <c:ptCount val="3"/>
                <c:pt idx="0">
                  <c:v>VPI</c:v>
                </c:pt>
                <c:pt idx="1">
                  <c:v>Baukosten</c:v>
                </c:pt>
                <c:pt idx="2">
                  <c:v>Baupreise</c:v>
                </c:pt>
              </c:strCache>
            </c:strRef>
          </c:cat>
          <c:val>
            <c:numRef>
              <c:f>'Arbeitskosten, Preisindizes'!$M$22:$O$22</c:f>
              <c:numCache>
                <c:formatCode>0.0%</c:formatCode>
                <c:ptCount val="3"/>
                <c:pt idx="0">
                  <c:v>8.5999999999999993E-2</c:v>
                </c:pt>
                <c:pt idx="1">
                  <c:v>0.10100000000000001</c:v>
                </c:pt>
                <c:pt idx="2">
                  <c:v>0.156</c:v>
                </c:pt>
              </c:numCache>
            </c:numRef>
          </c:val>
          <c:extLst>
            <c:ext xmlns:c16="http://schemas.microsoft.com/office/drawing/2014/chart" uri="{C3380CC4-5D6E-409C-BE32-E72D297353CC}">
              <c16:uniqueId val="{00000000-CF3C-46BF-AFAE-C454E91C46F8}"/>
            </c:ext>
          </c:extLst>
        </c:ser>
        <c:ser>
          <c:idx val="6"/>
          <c:order val="6"/>
          <c:tx>
            <c:strRef>
              <c:f>'Arbeitskosten, Preisindizes'!$J$23:$K$23</c:f>
              <c:strCache>
                <c:ptCount val="2"/>
                <c:pt idx="0">
                  <c:v>2023</c:v>
                </c:pt>
              </c:strCache>
            </c:strRef>
          </c:tx>
          <c:spPr>
            <a:solidFill>
              <a:srgbClr val="FF0000"/>
            </a:solidFill>
          </c:spPr>
          <c:invertIfNegative val="0"/>
          <c:cat>
            <c:strRef>
              <c:f>'Arbeitskosten, Preisindizes'!$M$16:$O$16</c:f>
              <c:strCache>
                <c:ptCount val="3"/>
                <c:pt idx="0">
                  <c:v>VPI</c:v>
                </c:pt>
                <c:pt idx="1">
                  <c:v>Baukosten</c:v>
                </c:pt>
                <c:pt idx="2">
                  <c:v>Baupreise</c:v>
                </c:pt>
              </c:strCache>
            </c:strRef>
          </c:cat>
          <c:val>
            <c:numRef>
              <c:f>'Arbeitskosten, Preisindizes'!$M$23:$O$23</c:f>
              <c:numCache>
                <c:formatCode>0.0%</c:formatCode>
                <c:ptCount val="3"/>
                <c:pt idx="0">
                  <c:v>7.8E-2</c:v>
                </c:pt>
                <c:pt idx="1">
                  <c:v>1.0999999999999999E-2</c:v>
                </c:pt>
                <c:pt idx="2">
                  <c:v>0.08</c:v>
                </c:pt>
              </c:numCache>
            </c:numRef>
          </c:val>
          <c:extLst>
            <c:ext xmlns:c16="http://schemas.microsoft.com/office/drawing/2014/chart" uri="{C3380CC4-5D6E-409C-BE32-E72D297353CC}">
              <c16:uniqueId val="{00000001-7CCD-42CD-B5A2-194800BFE924}"/>
            </c:ext>
          </c:extLst>
        </c:ser>
        <c:dLbls>
          <c:showLegendKey val="0"/>
          <c:showVal val="0"/>
          <c:showCatName val="0"/>
          <c:showSerName val="0"/>
          <c:showPercent val="0"/>
          <c:showBubbleSize val="0"/>
        </c:dLbls>
        <c:gapWidth val="150"/>
        <c:axId val="110573440"/>
        <c:axId val="110574976"/>
      </c:barChart>
      <c:catAx>
        <c:axId val="110573440"/>
        <c:scaling>
          <c:orientation val="minMax"/>
        </c:scaling>
        <c:delete val="0"/>
        <c:axPos val="b"/>
        <c:numFmt formatCode="General" sourceLinked="0"/>
        <c:majorTickMark val="out"/>
        <c:minorTickMark val="none"/>
        <c:tickLblPos val="nextTo"/>
        <c:crossAx val="110574976"/>
        <c:crosses val="autoZero"/>
        <c:auto val="1"/>
        <c:lblAlgn val="ctr"/>
        <c:lblOffset val="100"/>
        <c:noMultiLvlLbl val="0"/>
      </c:catAx>
      <c:valAx>
        <c:axId val="110574976"/>
        <c:scaling>
          <c:orientation val="minMax"/>
        </c:scaling>
        <c:delete val="0"/>
        <c:axPos val="l"/>
        <c:majorGridlines/>
        <c:numFmt formatCode="0.0%" sourceLinked="1"/>
        <c:majorTickMark val="out"/>
        <c:minorTickMark val="none"/>
        <c:tickLblPos val="nextTo"/>
        <c:crossAx val="110573440"/>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'Graf Kammermitglieder, Besch'!$I$3</c:f>
              <c:strCache>
                <c:ptCount val="1"/>
                <c:pt idx="0">
                  <c:v>Anteil d.Sparte in %</c:v>
                </c:pt>
              </c:strCache>
            </c:strRef>
          </c:tx>
          <c:dPt>
            <c:idx val="0"/>
            <c:bubble3D val="0"/>
            <c:spPr>
              <a:solidFill>
                <a:schemeClr val="tx2">
                  <a:lumMod val="75000"/>
                </a:schemeClr>
              </a:solidFill>
            </c:spPr>
            <c:extLst>
              <c:ext xmlns:c16="http://schemas.microsoft.com/office/drawing/2014/chart" uri="{C3380CC4-5D6E-409C-BE32-E72D297353CC}">
                <c16:uniqueId val="{00000000-B08F-4228-B8C6-BEDA70350A95}"/>
              </c:ext>
            </c:extLst>
          </c:dPt>
          <c:dPt>
            <c:idx val="1"/>
            <c:bubble3D val="0"/>
            <c:spPr>
              <a:solidFill>
                <a:srgbClr val="FFFF00"/>
              </a:solidFill>
            </c:spPr>
            <c:extLst>
              <c:ext xmlns:c16="http://schemas.microsoft.com/office/drawing/2014/chart" uri="{C3380CC4-5D6E-409C-BE32-E72D297353CC}">
                <c16:uniqueId val="{00000007-6C48-4739-8322-60FF88A30AF3}"/>
              </c:ext>
            </c:extLst>
          </c:dPt>
          <c:dPt>
            <c:idx val="2"/>
            <c:bubble3D val="0"/>
            <c:spPr>
              <a:solidFill>
                <a:srgbClr val="FF0000"/>
              </a:solidFill>
            </c:spPr>
            <c:extLst>
              <c:ext xmlns:c16="http://schemas.microsoft.com/office/drawing/2014/chart" uri="{C3380CC4-5D6E-409C-BE32-E72D297353CC}">
                <c16:uniqueId val="{00000001-B08F-4228-B8C6-BEDA70350A95}"/>
              </c:ext>
            </c:extLst>
          </c:dPt>
          <c:dPt>
            <c:idx val="4"/>
            <c:bubble3D val="0"/>
            <c:spPr>
              <a:solidFill>
                <a:schemeClr val="accent3">
                  <a:lumMod val="50000"/>
                </a:schemeClr>
              </a:solidFill>
            </c:spPr>
            <c:extLst>
              <c:ext xmlns:c16="http://schemas.microsoft.com/office/drawing/2014/chart" uri="{C3380CC4-5D6E-409C-BE32-E72D297353CC}">
                <c16:uniqueId val="{00000002-B08F-4228-B8C6-BEDA70350A95}"/>
              </c:ext>
            </c:extLst>
          </c:dPt>
          <c:dPt>
            <c:idx val="5"/>
            <c:bubble3D val="0"/>
            <c:spPr>
              <a:solidFill>
                <a:schemeClr val="accent4">
                  <a:lumMod val="50000"/>
                </a:schemeClr>
              </a:solidFill>
            </c:spPr>
            <c:extLst>
              <c:ext xmlns:c16="http://schemas.microsoft.com/office/drawing/2014/chart" uri="{C3380CC4-5D6E-409C-BE32-E72D297353CC}">
                <c16:uniqueId val="{00000008-6C48-4739-8322-60FF88A30AF3}"/>
              </c:ext>
            </c:extLst>
          </c:dPt>
          <c:dPt>
            <c:idx val="6"/>
            <c:bubble3D val="0"/>
            <c:spPr>
              <a:solidFill>
                <a:schemeClr val="tx1">
                  <a:lumMod val="75000"/>
                  <a:lumOff val="25000"/>
                </a:schemeClr>
              </a:solidFill>
            </c:spPr>
            <c:extLst>
              <c:ext xmlns:c16="http://schemas.microsoft.com/office/drawing/2014/chart" uri="{C3380CC4-5D6E-409C-BE32-E72D297353CC}">
                <c16:uniqueId val="{00000006-6C48-4739-8322-60FF88A30AF3}"/>
              </c:ext>
            </c:extLst>
          </c:dPt>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'Graf Kammermitglieder, Besch'!$H$4:$H$10</c:f>
              <c:strCache>
                <c:ptCount val="7"/>
                <c:pt idx="0">
                  <c:v>Gewerbe und Handwerk</c:v>
                </c:pt>
                <c:pt idx="1">
                  <c:v>Industrie</c:v>
                </c:pt>
                <c:pt idx="2">
                  <c:v>Handel</c:v>
                </c:pt>
                <c:pt idx="3">
                  <c:v>Bank und Versicherung</c:v>
                </c:pt>
                <c:pt idx="4">
                  <c:v>Transport und Verkehr</c:v>
                </c:pt>
                <c:pt idx="5">
                  <c:v>Tourismus und Freizeitwirtschaft</c:v>
                </c:pt>
                <c:pt idx="6">
                  <c:v>Information und Consulting</c:v>
                </c:pt>
              </c:strCache>
            </c:strRef>
          </c:cat>
          <c:val>
            <c:numRef>
              <c:f>'Graf Kammermitglieder, Besch'!$I$4:$I$10</c:f>
              <c:numCache>
                <c:formatCode>0.0%</c:formatCode>
                <c:ptCount val="7"/>
                <c:pt idx="0">
                  <c:v>0.44900000000000001</c:v>
                </c:pt>
                <c:pt idx="1">
                  <c:v>1.2E-2</c:v>
                </c:pt>
                <c:pt idx="2">
                  <c:v>0.23799999999999999</c:v>
                </c:pt>
                <c:pt idx="3">
                  <c:v>2E-3</c:v>
                </c:pt>
                <c:pt idx="4">
                  <c:v>4.3999999999999997E-2</c:v>
                </c:pt>
                <c:pt idx="5">
                  <c:v>0.11</c:v>
                </c:pt>
                <c:pt idx="6">
                  <c:v>0.14499999999999999</c:v>
                </c:pt>
              </c:numCache>
            </c:numRef>
          </c:val>
          <c:extLst>
            <c:ext xmlns:c16="http://schemas.microsoft.com/office/drawing/2014/chart" uri="{C3380CC4-5D6E-409C-BE32-E72D297353CC}">
              <c16:uniqueId val="{00000000-837B-4FCE-877C-7AC2334098C9}"/>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2"/>
          <c:dPt>
            <c:idx val="0"/>
            <c:bubble3D val="0"/>
            <c:spPr>
              <a:solidFill>
                <a:schemeClr val="tx2">
                  <a:lumMod val="50000"/>
                </a:schemeClr>
              </a:solidFill>
            </c:spPr>
            <c:extLst>
              <c:ext xmlns:c16="http://schemas.microsoft.com/office/drawing/2014/chart" uri="{C3380CC4-5D6E-409C-BE32-E72D297353CC}">
                <c16:uniqueId val="{00000000-5CEF-442D-A61C-5708E3DDD151}"/>
              </c:ext>
            </c:extLst>
          </c:dPt>
          <c:dPt>
            <c:idx val="1"/>
            <c:bubble3D val="0"/>
            <c:spPr>
              <a:solidFill>
                <a:srgbClr val="FF0000"/>
              </a:solidFill>
            </c:spPr>
            <c:extLst>
              <c:ext xmlns:c16="http://schemas.microsoft.com/office/drawing/2014/chart" uri="{C3380CC4-5D6E-409C-BE32-E72D297353CC}">
                <c16:uniqueId val="{00000001-5CEF-442D-A61C-5708E3DDD151}"/>
              </c:ext>
            </c:extLst>
          </c:dPt>
          <c:dPt>
            <c:idx val="2"/>
            <c:bubble3D val="0"/>
            <c:spPr>
              <a:solidFill>
                <a:srgbClr val="FFFF00"/>
              </a:solidFill>
            </c:spPr>
            <c:extLst>
              <c:ext xmlns:c16="http://schemas.microsoft.com/office/drawing/2014/chart" uri="{C3380CC4-5D6E-409C-BE32-E72D297353CC}">
                <c16:uniqueId val="{00000002-5CEF-442D-A61C-5708E3DDD151}"/>
              </c:ext>
            </c:extLst>
          </c:dPt>
          <c:dPt>
            <c:idx val="3"/>
            <c:bubble3D val="0"/>
            <c:spPr>
              <a:solidFill>
                <a:schemeClr val="accent4">
                  <a:lumMod val="50000"/>
                </a:schemeClr>
              </a:solidFill>
            </c:spPr>
            <c:extLst>
              <c:ext xmlns:c16="http://schemas.microsoft.com/office/drawing/2014/chart" uri="{C3380CC4-5D6E-409C-BE32-E72D297353CC}">
                <c16:uniqueId val="{00000003-5CEF-442D-A61C-5708E3DDD151}"/>
              </c:ext>
            </c:extLst>
          </c:dPt>
          <c:dPt>
            <c:idx val="4"/>
            <c:bubble3D val="0"/>
            <c:spPr>
              <a:solidFill>
                <a:schemeClr val="accent3">
                  <a:lumMod val="50000"/>
                </a:schemeClr>
              </a:solidFill>
            </c:spPr>
            <c:extLst>
              <c:ext xmlns:c16="http://schemas.microsoft.com/office/drawing/2014/chart" uri="{C3380CC4-5D6E-409C-BE32-E72D297353CC}">
                <c16:uniqueId val="{00000004-5CEF-442D-A61C-5708E3DDD151}"/>
              </c:ext>
            </c:extLst>
          </c:dPt>
          <c:dPt>
            <c:idx val="5"/>
            <c:bubble3D val="0"/>
            <c:spPr>
              <a:solidFill>
                <a:schemeClr val="accent6">
                  <a:lumMod val="75000"/>
                </a:schemeClr>
              </a:solidFill>
            </c:spPr>
            <c:extLst>
              <c:ext xmlns:c16="http://schemas.microsoft.com/office/drawing/2014/chart" uri="{C3380CC4-5D6E-409C-BE32-E72D297353CC}">
                <c16:uniqueId val="{00000005-5CEF-442D-A61C-5708E3DDD151}"/>
              </c:ext>
            </c:extLst>
          </c:dPt>
          <c:dPt>
            <c:idx val="6"/>
            <c:bubble3D val="0"/>
            <c:spPr>
              <a:solidFill>
                <a:schemeClr val="tx1">
                  <a:lumMod val="75000"/>
                  <a:lumOff val="25000"/>
                </a:schemeClr>
              </a:solidFill>
            </c:spPr>
            <c:extLst>
              <c:ext xmlns:c16="http://schemas.microsoft.com/office/drawing/2014/chart" uri="{C3380CC4-5D6E-409C-BE32-E72D297353CC}">
                <c16:uniqueId val="{00000006-5CEF-442D-A61C-5708E3DDD151}"/>
              </c:ext>
            </c:extLst>
          </c:dPt>
          <c:dLbls>
            <c:dLbl>
              <c:idx val="0"/>
              <c:layout>
                <c:manualLayout>
                  <c:x val="1.2152668416447901E-2"/>
                  <c:y val="6.24599008457275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EF-442D-A61C-5708E3DDD151}"/>
                </c:ext>
              </c:extLst>
            </c:dLbl>
            <c:dLbl>
              <c:idx val="1"/>
              <c:layout>
                <c:manualLayout>
                  <c:x val="-4.2025371828521398E-3"/>
                  <c:y val="-2.42168799623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EF-442D-A61C-5708E3DDD151}"/>
                </c:ext>
              </c:extLst>
            </c:dLbl>
            <c:dLbl>
              <c:idx val="2"/>
              <c:layout>
                <c:manualLayout>
                  <c:x val="4.2029746281714801E-3"/>
                  <c:y val="-2.9173957421988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EF-442D-A61C-5708E3DDD151}"/>
                </c:ext>
              </c:extLst>
            </c:dLbl>
            <c:dLbl>
              <c:idx val="3"/>
              <c:layout>
                <c:manualLayout>
                  <c:x val="2.7467191601049899E-3"/>
                  <c:y val="-1.75775012142353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EF-442D-A61C-5708E3DDD151}"/>
                </c:ext>
              </c:extLst>
            </c:dLbl>
            <c:dLbl>
              <c:idx val="4"/>
              <c:layout>
                <c:manualLayout>
                  <c:x val="4.7658573928259004E-3"/>
                  <c:y val="1.744932925051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EF-442D-A61C-5708E3DDD151}"/>
                </c:ext>
              </c:extLst>
            </c:dLbl>
            <c:dLbl>
              <c:idx val="5"/>
              <c:layout>
                <c:manualLayout>
                  <c:x val="-7.8484251968503997E-3"/>
                  <c:y val="4.3590696996208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EF-442D-A61C-5708E3DDD151}"/>
                </c:ext>
              </c:extLst>
            </c:dLbl>
            <c:dLbl>
              <c:idx val="6"/>
              <c:layout>
                <c:manualLayout>
                  <c:x val="1.5036745406824099E-2"/>
                  <c:y val="1.0918892201634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EF-442D-A61C-5708E3DDD151}"/>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'Graf Kammermitglieder, Besch'!$H$33:$H$39</c:f>
              <c:strCache>
                <c:ptCount val="7"/>
                <c:pt idx="0">
                  <c:v>Gewerbe und Handwerk</c:v>
                </c:pt>
                <c:pt idx="1">
                  <c:v>Industrie</c:v>
                </c:pt>
                <c:pt idx="2">
                  <c:v>Handel</c:v>
                </c:pt>
                <c:pt idx="3">
                  <c:v>Bank und Versicherung</c:v>
                </c:pt>
                <c:pt idx="4">
                  <c:v>Transport und Verkehr</c:v>
                </c:pt>
                <c:pt idx="5">
                  <c:v>Tourismus und Freizeitwirtschaft</c:v>
                </c:pt>
                <c:pt idx="6">
                  <c:v>Information und Consulting</c:v>
                </c:pt>
              </c:strCache>
            </c:strRef>
          </c:cat>
          <c:val>
            <c:numRef>
              <c:f>'Graf Kammermitglieder, Besch'!$I$33:$I$39</c:f>
              <c:numCache>
                <c:formatCode>0.0%</c:formatCode>
                <c:ptCount val="7"/>
                <c:pt idx="0">
                  <c:v>0.29279439942268931</c:v>
                </c:pt>
                <c:pt idx="1">
                  <c:v>0.24928872999941937</c:v>
                </c:pt>
                <c:pt idx="2">
                  <c:v>0.17376554218266574</c:v>
                </c:pt>
                <c:pt idx="3">
                  <c:v>3.5094849824567224E-2</c:v>
                </c:pt>
                <c:pt idx="4">
                  <c:v>7.0189699649134449E-2</c:v>
                </c:pt>
                <c:pt idx="5">
                  <c:v>0.12909032092170639</c:v>
                </c:pt>
                <c:pt idx="6">
                  <c:v>4.9776457999817517E-2</c:v>
                </c:pt>
              </c:numCache>
            </c:numRef>
          </c:val>
          <c:extLst>
            <c:ext xmlns:c16="http://schemas.microsoft.com/office/drawing/2014/chart" uri="{C3380CC4-5D6E-409C-BE32-E72D297353CC}">
              <c16:uniqueId val="{00000007-5CEF-442D-A61C-5708E3DDD151}"/>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8740157499999996" l="0.7" r="0.7" t="0.78740157499999996" header="0.3" footer="0.3"/>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'Besch gewerbl Wirtschaft'!$K$7</c:f>
              <c:strCache>
                <c:ptCount val="1"/>
                <c:pt idx="0">
                  <c:v>Gewerbe</c:v>
                </c:pt>
              </c:strCache>
            </c:strRef>
          </c:tx>
          <c:spPr>
            <a:ln>
              <a:solidFill>
                <a:srgbClr val="FF0000"/>
              </a:solidFill>
            </a:ln>
          </c:spPr>
          <c:marker>
            <c:symbol val="none"/>
          </c:marker>
          <c:cat>
            <c:numRef>
              <c:extLst>
                <c:ext xmlns:c15="http://schemas.microsoft.com/office/drawing/2012/chart" uri="{02D57815-91ED-43cb-92C2-25804820EDAC}">
                  <c15:fullRef>
                    <c15:sqref>'Besch gewerbl Wirtschaft'!$M$6:$Z$6</c15:sqref>
                  </c15:fullRef>
                </c:ext>
              </c:extLst>
              <c:f>('Besch gewerbl Wirtschaft'!$M$6,'Besch gewerbl Wirtschaft'!$O$6:$Z$6)</c:f>
              <c:numCache>
                <c:formatCode>General</c:formatCode>
                <c:ptCount val="13"/>
                <c:pt idx="0">
                  <c:v>2010</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extLst>
                <c:ext xmlns:c15="http://schemas.microsoft.com/office/drawing/2012/chart" uri="{02D57815-91ED-43cb-92C2-25804820EDAC}">
                  <c15:fullRef>
                    <c15:sqref>'Besch gewerbl Wirtschaft'!$M$7:$Z$7</c15:sqref>
                  </c15:fullRef>
                </c:ext>
              </c:extLst>
              <c:f>('Besch gewerbl Wirtschaft'!$M$7,'Besch gewerbl Wirtschaft'!$O$7:$Z$7)</c:f>
              <c:numCache>
                <c:formatCode>#,##0</c:formatCode>
                <c:ptCount val="13"/>
                <c:pt idx="0">
                  <c:v>29315</c:v>
                </c:pt>
                <c:pt idx="1">
                  <c:v>30334</c:v>
                </c:pt>
                <c:pt idx="2">
                  <c:v>30645</c:v>
                </c:pt>
                <c:pt idx="3">
                  <c:v>30950</c:v>
                </c:pt>
                <c:pt idx="4">
                  <c:v>30647</c:v>
                </c:pt>
                <c:pt idx="5">
                  <c:v>31812</c:v>
                </c:pt>
                <c:pt idx="6">
                  <c:v>32875</c:v>
                </c:pt>
                <c:pt idx="7">
                  <c:v>34850</c:v>
                </c:pt>
                <c:pt idx="8">
                  <c:v>35140</c:v>
                </c:pt>
                <c:pt idx="9">
                  <c:v>34690</c:v>
                </c:pt>
                <c:pt idx="10">
                  <c:v>35278</c:v>
                </c:pt>
                <c:pt idx="11">
                  <c:v>35830</c:v>
                </c:pt>
                <c:pt idx="12">
                  <c:v>35299</c:v>
                </c:pt>
              </c:numCache>
            </c:numRef>
          </c:val>
          <c:smooth val="0"/>
          <c:extLst>
            <c:ext xmlns:c16="http://schemas.microsoft.com/office/drawing/2014/chart" uri="{C3380CC4-5D6E-409C-BE32-E72D297353CC}">
              <c16:uniqueId val="{00000000-0176-4535-ACA1-CDB33DCB940C}"/>
            </c:ext>
          </c:extLst>
        </c:ser>
        <c:ser>
          <c:idx val="1"/>
          <c:order val="1"/>
          <c:tx>
            <c:strRef>
              <c:f>'Besch gewerbl Wirtschaft'!$K$8</c:f>
              <c:strCache>
                <c:ptCount val="1"/>
                <c:pt idx="0">
                  <c:v>Industrie</c:v>
                </c:pt>
              </c:strCache>
            </c:strRef>
          </c:tx>
          <c:spPr>
            <a:ln>
              <a:solidFill>
                <a:schemeClr val="bg1">
                  <a:lumMod val="85000"/>
                </a:schemeClr>
              </a:solidFill>
            </a:ln>
          </c:spPr>
          <c:marker>
            <c:symbol val="none"/>
          </c:marker>
          <c:cat>
            <c:numRef>
              <c:extLst>
                <c:ext xmlns:c15="http://schemas.microsoft.com/office/drawing/2012/chart" uri="{02D57815-91ED-43cb-92C2-25804820EDAC}">
                  <c15:fullRef>
                    <c15:sqref>'Besch gewerbl Wirtschaft'!$M$6:$Z$6</c15:sqref>
                  </c15:fullRef>
                </c:ext>
              </c:extLst>
              <c:f>('Besch gewerbl Wirtschaft'!$M$6,'Besch gewerbl Wirtschaft'!$O$6:$Z$6)</c:f>
              <c:numCache>
                <c:formatCode>General</c:formatCode>
                <c:ptCount val="13"/>
                <c:pt idx="0">
                  <c:v>2010</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extLst>
                <c:ext xmlns:c15="http://schemas.microsoft.com/office/drawing/2012/chart" uri="{02D57815-91ED-43cb-92C2-25804820EDAC}">
                  <c15:fullRef>
                    <c15:sqref>'Besch gewerbl Wirtschaft'!$M$8:$Z$8</c15:sqref>
                  </c15:fullRef>
                </c:ext>
              </c:extLst>
              <c:f>('Besch gewerbl Wirtschaft'!$M$8,'Besch gewerbl Wirtschaft'!$O$8:$Z$8)</c:f>
              <c:numCache>
                <c:formatCode>#,##0</c:formatCode>
                <c:ptCount val="13"/>
                <c:pt idx="0">
                  <c:v>25306</c:v>
                </c:pt>
                <c:pt idx="1">
                  <c:v>26478</c:v>
                </c:pt>
                <c:pt idx="2">
                  <c:v>26654</c:v>
                </c:pt>
                <c:pt idx="3">
                  <c:v>26738</c:v>
                </c:pt>
                <c:pt idx="4">
                  <c:v>27978</c:v>
                </c:pt>
                <c:pt idx="5">
                  <c:v>27970</c:v>
                </c:pt>
                <c:pt idx="6">
                  <c:v>29078</c:v>
                </c:pt>
                <c:pt idx="7">
                  <c:v>29229</c:v>
                </c:pt>
                <c:pt idx="8">
                  <c:v>29968</c:v>
                </c:pt>
                <c:pt idx="9">
                  <c:v>29667</c:v>
                </c:pt>
                <c:pt idx="10">
                  <c:v>29573</c:v>
                </c:pt>
                <c:pt idx="11">
                  <c:v>29912</c:v>
                </c:pt>
                <c:pt idx="12">
                  <c:v>30054</c:v>
                </c:pt>
              </c:numCache>
            </c:numRef>
          </c:val>
          <c:smooth val="0"/>
          <c:extLst>
            <c:ext xmlns:c16="http://schemas.microsoft.com/office/drawing/2014/chart" uri="{C3380CC4-5D6E-409C-BE32-E72D297353CC}">
              <c16:uniqueId val="{00000001-0176-4535-ACA1-CDB33DCB940C}"/>
            </c:ext>
          </c:extLst>
        </c:ser>
        <c:ser>
          <c:idx val="2"/>
          <c:order val="2"/>
          <c:tx>
            <c:strRef>
              <c:f>'Besch gewerbl Wirtschaft'!$K$9</c:f>
              <c:strCache>
                <c:ptCount val="1"/>
                <c:pt idx="0">
                  <c:v>Handel</c:v>
                </c:pt>
              </c:strCache>
            </c:strRef>
          </c:tx>
          <c:spPr>
            <a:ln>
              <a:solidFill>
                <a:schemeClr val="bg1">
                  <a:lumMod val="75000"/>
                </a:schemeClr>
              </a:solidFill>
            </a:ln>
          </c:spPr>
          <c:marker>
            <c:symbol val="none"/>
          </c:marker>
          <c:cat>
            <c:numRef>
              <c:extLst>
                <c:ext xmlns:c15="http://schemas.microsoft.com/office/drawing/2012/chart" uri="{02D57815-91ED-43cb-92C2-25804820EDAC}">
                  <c15:fullRef>
                    <c15:sqref>'Besch gewerbl Wirtschaft'!$M$6:$Z$6</c15:sqref>
                  </c15:fullRef>
                </c:ext>
              </c:extLst>
              <c:f>('Besch gewerbl Wirtschaft'!$M$6,'Besch gewerbl Wirtschaft'!$O$6:$Z$6)</c:f>
              <c:numCache>
                <c:formatCode>General</c:formatCode>
                <c:ptCount val="13"/>
                <c:pt idx="0">
                  <c:v>2010</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extLst>
                <c:ext xmlns:c15="http://schemas.microsoft.com/office/drawing/2012/chart" uri="{02D57815-91ED-43cb-92C2-25804820EDAC}">
                  <c15:fullRef>
                    <c15:sqref>'Besch gewerbl Wirtschaft'!$M$9:$Z$9</c15:sqref>
                  </c15:fullRef>
                </c:ext>
              </c:extLst>
              <c:f>('Besch gewerbl Wirtschaft'!$M$9,'Besch gewerbl Wirtschaft'!$O$9:$Z$9)</c:f>
              <c:numCache>
                <c:formatCode>#,##0</c:formatCode>
                <c:ptCount val="13"/>
                <c:pt idx="0">
                  <c:v>18499</c:v>
                </c:pt>
                <c:pt idx="1" formatCode="General">
                  <c:v>19181</c:v>
                </c:pt>
                <c:pt idx="2" formatCode="General">
                  <c:v>19526</c:v>
                </c:pt>
                <c:pt idx="3" formatCode="General">
                  <c:v>19535</c:v>
                </c:pt>
                <c:pt idx="4" formatCode="General">
                  <c:v>19455</c:v>
                </c:pt>
                <c:pt idx="5" formatCode="General">
                  <c:v>20102</c:v>
                </c:pt>
                <c:pt idx="6" formatCode="General">
                  <c:v>20806</c:v>
                </c:pt>
                <c:pt idx="7">
                  <c:v>21158</c:v>
                </c:pt>
                <c:pt idx="8" formatCode="General">
                  <c:v>20998</c:v>
                </c:pt>
                <c:pt idx="9">
                  <c:v>20885</c:v>
                </c:pt>
                <c:pt idx="10">
                  <c:v>21066</c:v>
                </c:pt>
                <c:pt idx="11">
                  <c:v>21037</c:v>
                </c:pt>
                <c:pt idx="12">
                  <c:v>20949</c:v>
                </c:pt>
              </c:numCache>
            </c:numRef>
          </c:val>
          <c:smooth val="0"/>
          <c:extLst>
            <c:ext xmlns:c16="http://schemas.microsoft.com/office/drawing/2014/chart" uri="{C3380CC4-5D6E-409C-BE32-E72D297353CC}">
              <c16:uniqueId val="{00000002-0176-4535-ACA1-CDB33DCB940C}"/>
            </c:ext>
          </c:extLst>
        </c:ser>
        <c:ser>
          <c:idx val="3"/>
          <c:order val="3"/>
          <c:tx>
            <c:strRef>
              <c:f>'Besch gewerbl Wirtschaft'!$K$10</c:f>
              <c:strCache>
                <c:ptCount val="1"/>
                <c:pt idx="0">
                  <c:v>Bank u. Versicherung</c:v>
                </c:pt>
              </c:strCache>
            </c:strRef>
          </c:tx>
          <c:spPr>
            <a:ln>
              <a:solidFill>
                <a:schemeClr val="tx1">
                  <a:lumMod val="95000"/>
                  <a:lumOff val="5000"/>
                </a:schemeClr>
              </a:solidFill>
            </a:ln>
          </c:spPr>
          <c:marker>
            <c:symbol val="none"/>
          </c:marker>
          <c:cat>
            <c:numRef>
              <c:extLst>
                <c:ext xmlns:c15="http://schemas.microsoft.com/office/drawing/2012/chart" uri="{02D57815-91ED-43cb-92C2-25804820EDAC}">
                  <c15:fullRef>
                    <c15:sqref>'Besch gewerbl Wirtschaft'!$M$6:$Z$6</c15:sqref>
                  </c15:fullRef>
                </c:ext>
              </c:extLst>
              <c:f>('Besch gewerbl Wirtschaft'!$M$6,'Besch gewerbl Wirtschaft'!$O$6:$Z$6)</c:f>
              <c:numCache>
                <c:formatCode>General</c:formatCode>
                <c:ptCount val="13"/>
                <c:pt idx="0">
                  <c:v>2010</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extLst>
                <c:ext xmlns:c15="http://schemas.microsoft.com/office/drawing/2012/chart" uri="{02D57815-91ED-43cb-92C2-25804820EDAC}">
                  <c15:fullRef>
                    <c15:sqref>'Besch gewerbl Wirtschaft'!$M$10:$Z$10</c15:sqref>
                  </c15:fullRef>
                </c:ext>
              </c:extLst>
              <c:f>('Besch gewerbl Wirtschaft'!$M$10,'Besch gewerbl Wirtschaft'!$O$10:$Z$10)</c:f>
              <c:numCache>
                <c:formatCode>#,##0</c:formatCode>
                <c:ptCount val="13"/>
                <c:pt idx="0">
                  <c:v>4700</c:v>
                </c:pt>
                <c:pt idx="1">
                  <c:v>4627</c:v>
                </c:pt>
                <c:pt idx="2">
                  <c:v>4532</c:v>
                </c:pt>
                <c:pt idx="3">
                  <c:v>4394</c:v>
                </c:pt>
                <c:pt idx="4">
                  <c:v>4343</c:v>
                </c:pt>
                <c:pt idx="5">
                  <c:v>4309</c:v>
                </c:pt>
                <c:pt idx="6">
                  <c:v>4260</c:v>
                </c:pt>
                <c:pt idx="7">
                  <c:v>4018</c:v>
                </c:pt>
                <c:pt idx="8">
                  <c:v>4199</c:v>
                </c:pt>
                <c:pt idx="9">
                  <c:v>4133</c:v>
                </c:pt>
                <c:pt idx="10">
                  <c:v>4261</c:v>
                </c:pt>
                <c:pt idx="11">
                  <c:v>4196</c:v>
                </c:pt>
                <c:pt idx="12">
                  <c:v>4231</c:v>
                </c:pt>
              </c:numCache>
            </c:numRef>
          </c:val>
          <c:smooth val="0"/>
          <c:extLst>
            <c:ext xmlns:c16="http://schemas.microsoft.com/office/drawing/2014/chart" uri="{C3380CC4-5D6E-409C-BE32-E72D297353CC}">
              <c16:uniqueId val="{00000003-0176-4535-ACA1-CDB33DCB940C}"/>
            </c:ext>
          </c:extLst>
        </c:ser>
        <c:ser>
          <c:idx val="4"/>
          <c:order val="4"/>
          <c:tx>
            <c:strRef>
              <c:f>'Besch gewerbl Wirtschaft'!$K$11</c:f>
              <c:strCache>
                <c:ptCount val="1"/>
                <c:pt idx="0">
                  <c:v>Transport u. Verkehr</c:v>
                </c:pt>
              </c:strCache>
            </c:strRef>
          </c:tx>
          <c:spPr>
            <a:ln>
              <a:solidFill>
                <a:schemeClr val="tx1">
                  <a:lumMod val="65000"/>
                  <a:lumOff val="35000"/>
                </a:schemeClr>
              </a:solidFill>
            </a:ln>
          </c:spPr>
          <c:marker>
            <c:symbol val="none"/>
          </c:marker>
          <c:cat>
            <c:numRef>
              <c:extLst>
                <c:ext xmlns:c15="http://schemas.microsoft.com/office/drawing/2012/chart" uri="{02D57815-91ED-43cb-92C2-25804820EDAC}">
                  <c15:fullRef>
                    <c15:sqref>'Besch gewerbl Wirtschaft'!$M$6:$Z$6</c15:sqref>
                  </c15:fullRef>
                </c:ext>
              </c:extLst>
              <c:f>('Besch gewerbl Wirtschaft'!$M$6,'Besch gewerbl Wirtschaft'!$O$6:$Z$6)</c:f>
              <c:numCache>
                <c:formatCode>General</c:formatCode>
                <c:ptCount val="13"/>
                <c:pt idx="0">
                  <c:v>2010</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extLst>
                <c:ext xmlns:c15="http://schemas.microsoft.com/office/drawing/2012/chart" uri="{02D57815-91ED-43cb-92C2-25804820EDAC}">
                  <c15:fullRef>
                    <c15:sqref>'Besch gewerbl Wirtschaft'!$M$11:$Z$11</c15:sqref>
                  </c15:fullRef>
                </c:ext>
              </c:extLst>
              <c:f>('Besch gewerbl Wirtschaft'!$M$11,'Besch gewerbl Wirtschaft'!$O$11:$Z$11)</c:f>
              <c:numCache>
                <c:formatCode>General</c:formatCode>
                <c:ptCount val="13"/>
                <c:pt idx="0" formatCode="#,##0">
                  <c:v>7540</c:v>
                </c:pt>
                <c:pt idx="1">
                  <c:v>7606</c:v>
                </c:pt>
                <c:pt idx="2">
                  <c:v>7695</c:v>
                </c:pt>
                <c:pt idx="3">
                  <c:v>7819</c:v>
                </c:pt>
                <c:pt idx="4">
                  <c:v>7590</c:v>
                </c:pt>
                <c:pt idx="5" formatCode="#,##0">
                  <c:v>7883</c:v>
                </c:pt>
                <c:pt idx="6" formatCode="#,##0">
                  <c:v>7924</c:v>
                </c:pt>
                <c:pt idx="7" formatCode="#,##0">
                  <c:v>8183</c:v>
                </c:pt>
                <c:pt idx="8" formatCode="#,##0">
                  <c:v>8417</c:v>
                </c:pt>
                <c:pt idx="9" formatCode="#,##0">
                  <c:v>8071</c:v>
                </c:pt>
                <c:pt idx="10" formatCode="#,##0">
                  <c:v>8074</c:v>
                </c:pt>
                <c:pt idx="11" formatCode="#,##0">
                  <c:v>8315</c:v>
                </c:pt>
                <c:pt idx="12" formatCode="#,##0">
                  <c:v>8462</c:v>
                </c:pt>
              </c:numCache>
            </c:numRef>
          </c:val>
          <c:smooth val="0"/>
          <c:extLst>
            <c:ext xmlns:c16="http://schemas.microsoft.com/office/drawing/2014/chart" uri="{C3380CC4-5D6E-409C-BE32-E72D297353CC}">
              <c16:uniqueId val="{00000004-0176-4535-ACA1-CDB33DCB940C}"/>
            </c:ext>
          </c:extLst>
        </c:ser>
        <c:ser>
          <c:idx val="5"/>
          <c:order val="5"/>
          <c:tx>
            <c:strRef>
              <c:f>'Besch gewerbl Wirtschaft'!$K$12</c:f>
              <c:strCache>
                <c:ptCount val="1"/>
                <c:pt idx="0">
                  <c:v>Touismus</c:v>
                </c:pt>
              </c:strCache>
            </c:strRef>
          </c:tx>
          <c:spPr>
            <a:ln>
              <a:solidFill>
                <a:schemeClr val="bg1">
                  <a:lumMod val="50000"/>
                </a:schemeClr>
              </a:solidFill>
            </a:ln>
          </c:spPr>
          <c:marker>
            <c:symbol val="none"/>
          </c:marker>
          <c:cat>
            <c:numRef>
              <c:extLst>
                <c:ext xmlns:c15="http://schemas.microsoft.com/office/drawing/2012/chart" uri="{02D57815-91ED-43cb-92C2-25804820EDAC}">
                  <c15:fullRef>
                    <c15:sqref>'Besch gewerbl Wirtschaft'!$M$6:$Z$6</c15:sqref>
                  </c15:fullRef>
                </c:ext>
              </c:extLst>
              <c:f>('Besch gewerbl Wirtschaft'!$M$6,'Besch gewerbl Wirtschaft'!$O$6:$Z$6)</c:f>
              <c:numCache>
                <c:formatCode>General</c:formatCode>
                <c:ptCount val="13"/>
                <c:pt idx="0">
                  <c:v>2010</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extLst>
                <c:ext xmlns:c15="http://schemas.microsoft.com/office/drawing/2012/chart" uri="{02D57815-91ED-43cb-92C2-25804820EDAC}">
                  <c15:fullRef>
                    <c15:sqref>'Besch gewerbl Wirtschaft'!$M$12:$Z$12</c15:sqref>
                  </c15:fullRef>
                </c:ext>
              </c:extLst>
              <c:f>('Besch gewerbl Wirtschaft'!$M$12,'Besch gewerbl Wirtschaft'!$O$12:$Z$12)</c:f>
              <c:numCache>
                <c:formatCode>#,##0</c:formatCode>
                <c:ptCount val="13"/>
                <c:pt idx="0">
                  <c:v>12126</c:v>
                </c:pt>
                <c:pt idx="1">
                  <c:v>13037</c:v>
                </c:pt>
                <c:pt idx="2">
                  <c:v>13142</c:v>
                </c:pt>
                <c:pt idx="3">
                  <c:v>13381</c:v>
                </c:pt>
                <c:pt idx="4">
                  <c:v>12281</c:v>
                </c:pt>
                <c:pt idx="5">
                  <c:v>12832</c:v>
                </c:pt>
                <c:pt idx="6">
                  <c:v>15206</c:v>
                </c:pt>
                <c:pt idx="7">
                  <c:v>14900</c:v>
                </c:pt>
                <c:pt idx="8">
                  <c:v>14846</c:v>
                </c:pt>
                <c:pt idx="9">
                  <c:v>12737</c:v>
                </c:pt>
                <c:pt idx="10">
                  <c:v>13202</c:v>
                </c:pt>
                <c:pt idx="11">
                  <c:v>15042</c:v>
                </c:pt>
                <c:pt idx="12">
                  <c:v>15563</c:v>
                </c:pt>
              </c:numCache>
            </c:numRef>
          </c:val>
          <c:smooth val="0"/>
          <c:extLst>
            <c:ext xmlns:c16="http://schemas.microsoft.com/office/drawing/2014/chart" uri="{C3380CC4-5D6E-409C-BE32-E72D297353CC}">
              <c16:uniqueId val="{00000005-0176-4535-ACA1-CDB33DCB940C}"/>
            </c:ext>
          </c:extLst>
        </c:ser>
        <c:ser>
          <c:idx val="6"/>
          <c:order val="6"/>
          <c:tx>
            <c:strRef>
              <c:f>'Besch gewerbl Wirtschaft'!$K$13</c:f>
              <c:strCache>
                <c:ptCount val="1"/>
                <c:pt idx="0">
                  <c:v>Information u. Consulting</c:v>
                </c:pt>
              </c:strCache>
            </c:strRef>
          </c:tx>
          <c:spPr>
            <a:ln>
              <a:solidFill>
                <a:schemeClr val="tx1">
                  <a:lumMod val="75000"/>
                  <a:lumOff val="25000"/>
                </a:schemeClr>
              </a:solidFill>
            </a:ln>
          </c:spPr>
          <c:marker>
            <c:symbol val="none"/>
          </c:marker>
          <c:cat>
            <c:numRef>
              <c:extLst>
                <c:ext xmlns:c15="http://schemas.microsoft.com/office/drawing/2012/chart" uri="{02D57815-91ED-43cb-92C2-25804820EDAC}">
                  <c15:fullRef>
                    <c15:sqref>'Besch gewerbl Wirtschaft'!$M$6:$Z$6</c15:sqref>
                  </c15:fullRef>
                </c:ext>
              </c:extLst>
              <c:f>('Besch gewerbl Wirtschaft'!$M$6,'Besch gewerbl Wirtschaft'!$O$6:$Z$6)</c:f>
              <c:numCache>
                <c:formatCode>General</c:formatCode>
                <c:ptCount val="13"/>
                <c:pt idx="0">
                  <c:v>2010</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extLst>
                <c:ext xmlns:c15="http://schemas.microsoft.com/office/drawing/2012/chart" uri="{02D57815-91ED-43cb-92C2-25804820EDAC}">
                  <c15:fullRef>
                    <c15:sqref>'Besch gewerbl Wirtschaft'!$M$13:$Z$13</c15:sqref>
                  </c15:fullRef>
                </c:ext>
              </c:extLst>
              <c:f>('Besch gewerbl Wirtschaft'!$M$13,'Besch gewerbl Wirtschaft'!$O$13:$Z$13)</c:f>
              <c:numCache>
                <c:formatCode>#,##0</c:formatCode>
                <c:ptCount val="13"/>
                <c:pt idx="0">
                  <c:v>4992</c:v>
                </c:pt>
                <c:pt idx="1">
                  <c:v>5469</c:v>
                </c:pt>
                <c:pt idx="2">
                  <c:v>5650</c:v>
                </c:pt>
                <c:pt idx="3">
                  <c:v>5762</c:v>
                </c:pt>
                <c:pt idx="4">
                  <c:v>5281</c:v>
                </c:pt>
                <c:pt idx="5">
                  <c:v>5262</c:v>
                </c:pt>
                <c:pt idx="6">
                  <c:v>5570</c:v>
                </c:pt>
                <c:pt idx="7">
                  <c:v>6203</c:v>
                </c:pt>
                <c:pt idx="8">
                  <c:v>5885</c:v>
                </c:pt>
                <c:pt idx="9">
                  <c:v>5796</c:v>
                </c:pt>
                <c:pt idx="10">
                  <c:v>5853</c:v>
                </c:pt>
                <c:pt idx="11">
                  <c:v>5947</c:v>
                </c:pt>
                <c:pt idx="12">
                  <c:v>6001</c:v>
                </c:pt>
              </c:numCache>
            </c:numRef>
          </c:val>
          <c:smooth val="0"/>
          <c:extLst>
            <c:ext xmlns:c16="http://schemas.microsoft.com/office/drawing/2014/chart" uri="{C3380CC4-5D6E-409C-BE32-E72D297353CC}">
              <c16:uniqueId val="{00000006-0176-4535-ACA1-CDB33DCB940C}"/>
            </c:ext>
          </c:extLst>
        </c:ser>
        <c:dLbls>
          <c:showLegendKey val="0"/>
          <c:showVal val="0"/>
          <c:showCatName val="0"/>
          <c:showSerName val="0"/>
          <c:showPercent val="0"/>
          <c:showBubbleSize val="0"/>
        </c:dLbls>
        <c:smooth val="0"/>
        <c:axId val="110992384"/>
        <c:axId val="111006464"/>
      </c:lineChart>
      <c:catAx>
        <c:axId val="110992384"/>
        <c:scaling>
          <c:orientation val="minMax"/>
        </c:scaling>
        <c:delete val="0"/>
        <c:axPos val="b"/>
        <c:numFmt formatCode="General" sourceLinked="1"/>
        <c:majorTickMark val="out"/>
        <c:minorTickMark val="none"/>
        <c:tickLblPos val="nextTo"/>
        <c:crossAx val="111006464"/>
        <c:crosses val="autoZero"/>
        <c:auto val="1"/>
        <c:lblAlgn val="ctr"/>
        <c:lblOffset val="100"/>
        <c:noMultiLvlLbl val="0"/>
      </c:catAx>
      <c:valAx>
        <c:axId val="111006464"/>
        <c:scaling>
          <c:orientation val="minMax"/>
        </c:scaling>
        <c:delete val="0"/>
        <c:axPos val="l"/>
        <c:majorGridlines/>
        <c:numFmt formatCode="#,##0" sourceLinked="1"/>
        <c:majorTickMark val="out"/>
        <c:minorTickMark val="none"/>
        <c:tickLblPos val="nextTo"/>
        <c:crossAx val="110992384"/>
        <c:crosses val="autoZero"/>
        <c:crossBetween val="between"/>
      </c:valAx>
    </c:plotArea>
    <c:legend>
      <c:legendPos val="r"/>
      <c:legendEntry>
        <c:idx val="1"/>
        <c:txPr>
          <a:bodyPr/>
          <a:lstStyle/>
          <a:p>
            <a:pPr>
              <a:defRPr>
                <a:solidFill>
                  <a:sysClr val="windowText" lastClr="000000"/>
                </a:solidFill>
              </a:defRPr>
            </a:pPr>
            <a:endParaRPr lang="de-DE"/>
          </a:p>
        </c:txPr>
      </c:legendEntry>
      <c:overlay val="0"/>
    </c:legend>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'Größenkl IC, Überblick'!$B$16:$B$18</c:f>
              <c:strCache>
                <c:ptCount val="3"/>
              </c:strCache>
            </c:strRef>
          </c:tx>
          <c:spPr>
            <a:solidFill>
              <a:schemeClr val="tx1">
                <a:lumMod val="65000"/>
                <a:lumOff val="35000"/>
              </a:schemeClr>
            </a:solidFill>
          </c:spPr>
          <c:invertIfNegative val="0"/>
          <c:cat>
            <c:strRef>
              <c:f>'Größenkl IC, Überblick'!$G$19:$G$22</c:f>
              <c:strCache>
                <c:ptCount val="4"/>
                <c:pt idx="0">
                  <c:v>1-9 Beschäftigte</c:v>
                </c:pt>
                <c:pt idx="1">
                  <c:v>10-49 Beschäftigte</c:v>
                </c:pt>
                <c:pt idx="2">
                  <c:v>50-249 Beschäftigte</c:v>
                </c:pt>
                <c:pt idx="3">
                  <c:v>250 u. mehr Beschäftigte</c:v>
                </c:pt>
              </c:strCache>
            </c:strRef>
          </c:cat>
          <c:val>
            <c:numRef>
              <c:f>'Größenkl IC, Überblick'!$H$19:$H$22</c:f>
              <c:numCache>
                <c:formatCode>0.0%</c:formatCode>
                <c:ptCount val="4"/>
                <c:pt idx="0">
                  <c:v>0.75664402335836012</c:v>
                </c:pt>
                <c:pt idx="1">
                  <c:v>0.19806936002860207</c:v>
                </c:pt>
                <c:pt idx="2">
                  <c:v>3.8851150041711358E-2</c:v>
                </c:pt>
                <c:pt idx="3">
                  <c:v>6.435466571326421E-3</c:v>
                </c:pt>
              </c:numCache>
            </c:numRef>
          </c:val>
          <c:extLst>
            <c:ext xmlns:c16="http://schemas.microsoft.com/office/drawing/2014/chart" uri="{C3380CC4-5D6E-409C-BE32-E72D297353CC}">
              <c16:uniqueId val="{00000000-1A5E-4668-8525-E590DCC5EA74}"/>
            </c:ext>
          </c:extLst>
        </c:ser>
        <c:ser>
          <c:idx val="1"/>
          <c:order val="1"/>
          <c:tx>
            <c:strRef>
              <c:f>'Größenkl IC, Überblick'!$C$16:$C$18</c:f>
              <c:strCache>
                <c:ptCount val="3"/>
              </c:strCache>
            </c:strRef>
          </c:tx>
          <c:spPr>
            <a:solidFill>
              <a:srgbClr val="FF0000"/>
            </a:solidFill>
          </c:spPr>
          <c:invertIfNegative val="0"/>
          <c:cat>
            <c:strRef>
              <c:f>'Größenkl IC, Überblick'!$G$19:$G$22</c:f>
              <c:strCache>
                <c:ptCount val="4"/>
                <c:pt idx="0">
                  <c:v>1-9 Beschäftigte</c:v>
                </c:pt>
                <c:pt idx="1">
                  <c:v>10-49 Beschäftigte</c:v>
                </c:pt>
                <c:pt idx="2">
                  <c:v>50-249 Beschäftigte</c:v>
                </c:pt>
                <c:pt idx="3">
                  <c:v>250 u. mehr Beschäftigte</c:v>
                </c:pt>
              </c:strCache>
            </c:strRef>
          </c:cat>
          <c:val>
            <c:numRef>
              <c:f>'Größenkl IC, Überblick'!$I$19:$I$22</c:f>
              <c:numCache>
                <c:formatCode>0.0%</c:formatCode>
                <c:ptCount val="4"/>
                <c:pt idx="0">
                  <c:v>0.15741857659831121</c:v>
                </c:pt>
                <c:pt idx="1">
                  <c:v>0.27910540214520912</c:v>
                </c:pt>
                <c:pt idx="2">
                  <c:v>0.26580380138884363</c:v>
                </c:pt>
                <c:pt idx="3">
                  <c:v>0.29766406937697648</c:v>
                </c:pt>
              </c:numCache>
            </c:numRef>
          </c:val>
          <c:extLst>
            <c:ext xmlns:c16="http://schemas.microsoft.com/office/drawing/2014/chart" uri="{C3380CC4-5D6E-409C-BE32-E72D297353CC}">
              <c16:uniqueId val="{00000001-1A5E-4668-8525-E590DCC5EA74}"/>
            </c:ext>
          </c:extLst>
        </c:ser>
        <c:dLbls>
          <c:showLegendKey val="0"/>
          <c:showVal val="0"/>
          <c:showCatName val="0"/>
          <c:showSerName val="0"/>
          <c:showPercent val="0"/>
          <c:showBubbleSize val="0"/>
        </c:dLbls>
        <c:gapWidth val="150"/>
        <c:axId val="111391488"/>
        <c:axId val="111393024"/>
      </c:barChart>
      <c:catAx>
        <c:axId val="111391488"/>
        <c:scaling>
          <c:orientation val="minMax"/>
        </c:scaling>
        <c:delete val="0"/>
        <c:axPos val="b"/>
        <c:numFmt formatCode="General" sourceLinked="0"/>
        <c:majorTickMark val="out"/>
        <c:minorTickMark val="none"/>
        <c:tickLblPos val="nextTo"/>
        <c:crossAx val="111393024"/>
        <c:crosses val="autoZero"/>
        <c:auto val="1"/>
        <c:lblAlgn val="ctr"/>
        <c:lblOffset val="100"/>
        <c:noMultiLvlLbl val="0"/>
      </c:catAx>
      <c:valAx>
        <c:axId val="111393024"/>
        <c:scaling>
          <c:orientation val="minMax"/>
        </c:scaling>
        <c:delete val="0"/>
        <c:axPos val="l"/>
        <c:majorGridlines/>
        <c:numFmt formatCode="0.0%" sourceLinked="1"/>
        <c:majorTickMark val="out"/>
        <c:minorTickMark val="none"/>
        <c:tickLblPos val="nextTo"/>
        <c:crossAx val="111391488"/>
        <c:crosses val="autoZero"/>
        <c:crossBetween val="between"/>
      </c:valAx>
    </c:plotArea>
    <c:legend>
      <c:legendPos val="b"/>
      <c:overlay val="0"/>
    </c:legend>
    <c:plotVisOnly val="1"/>
    <c:dispBlanksAs val="gap"/>
    <c:showDLblsOverMax val="0"/>
  </c:chart>
  <c:printSettings>
    <c:headerFooter/>
    <c:pageMargins b="0.78740157499999996" l="0.7" r="0.7" t="0.78740157499999996"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7.xml"/><Relationship Id="rId1" Type="http://schemas.openxmlformats.org/officeDocument/2006/relationships/chart" Target="../charts/chart6.xml"/></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0.xml"/></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3.xml"/><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4.png"/></Relationships>
</file>

<file path=xl/drawings/_rels/drawing3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16.xml"/><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image" Target="../media/image4.png"/></Relationships>
</file>

<file path=xl/drawings/_rels/drawing3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0.xml"/></Relationships>
</file>

<file path=xl/drawings/_rels/drawing3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1.xml"/></Relationships>
</file>

<file path=xl/drawings/_rels/drawing3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4.png"/></Relationships>
</file>

<file path=xl/drawings/_rels/drawing3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2.xml"/></Relationships>
</file>

<file path=xl/drawings/_rels/drawing38.xml.rels><?xml version="1.0" encoding="UTF-8" standalone="yes"?>
<Relationships xmlns="http://schemas.openxmlformats.org/package/2006/relationships"><Relationship Id="rId1" Type="http://schemas.openxmlformats.org/officeDocument/2006/relationships/image" Target="../media/image4.png"/></Relationships>
</file>

<file path=xl/drawings/_rels/drawing39.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3.xml"/></Relationships>
</file>

<file path=xl/drawings/_rels/drawing4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4.xml"/></Relationships>
</file>

<file path=xl/drawings/_rels/drawing4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5.xml"/></Relationships>
</file>

<file path=xl/drawings/_rels/drawing4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4.xml.rels><?xml version="1.0" encoding="UTF-8" standalone="yes"?>
<Relationships xmlns="http://schemas.openxmlformats.org/package/2006/relationships"><Relationship Id="rId1" Type="http://schemas.openxmlformats.org/officeDocument/2006/relationships/image" Target="../media/image4.png"/></Relationships>
</file>

<file path=xl/drawings/_rels/drawing4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27.xml"/><Relationship Id="rId1" Type="http://schemas.openxmlformats.org/officeDocument/2006/relationships/chart" Target="../charts/chart26.xml"/></Relationships>
</file>

<file path=xl/drawings/_rels/drawing4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_rels/drawing4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400049</xdr:colOff>
      <xdr:row>2</xdr:row>
      <xdr:rowOff>124992</xdr:rowOff>
    </xdr:from>
    <xdr:to>
      <xdr:col>9</xdr:col>
      <xdr:colOff>0</xdr:colOff>
      <xdr:row>27</xdr:row>
      <xdr:rowOff>9525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314824" y="953667"/>
          <a:ext cx="1885951" cy="5656683"/>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050" b="1">
              <a:solidFill>
                <a:schemeClr val="bg1"/>
              </a:solidFill>
              <a:latin typeface="Bierstadt" panose="020B0004020202020204" pitchFamily="34" charset="0"/>
              <a:ea typeface="DIN 2014" panose="020B0504020202020204" pitchFamily="34" charset="0"/>
            </a:rPr>
            <a:t>KONTAKT</a:t>
          </a:r>
        </a:p>
        <a:p>
          <a:endParaRPr lang="de-AT" sz="800">
            <a:solidFill>
              <a:schemeClr val="bg1"/>
            </a:solidFill>
            <a:latin typeface="DIN 2014" panose="020B0504020202020204" pitchFamily="34" charset="0"/>
            <a:ea typeface="DIN 2014" panose="020B0504020202020204" pitchFamily="34" charset="0"/>
          </a:endParaRPr>
        </a:p>
        <a:p>
          <a:r>
            <a:rPr lang="de-AT" sz="1000">
              <a:solidFill>
                <a:schemeClr val="bg1"/>
              </a:solidFill>
              <a:latin typeface="Bierstadt" panose="020B0004020202020204" pitchFamily="34" charset="0"/>
              <a:ea typeface="DIN 2014" panose="020B0504020202020204" pitchFamily="34" charset="0"/>
            </a:rPr>
            <a:t>Wirtschaftskammer Vorarlberg</a:t>
          </a:r>
        </a:p>
        <a:p>
          <a:r>
            <a:rPr lang="de-AT" sz="1000">
              <a:solidFill>
                <a:schemeClr val="bg1"/>
              </a:solidFill>
              <a:latin typeface="Bierstadt" panose="020B0004020202020204" pitchFamily="34" charset="0"/>
              <a:ea typeface="DIN 2014" panose="020B0504020202020204" pitchFamily="34" charset="0"/>
            </a:rPr>
            <a:t>Wichnergasse 9. 6800</a:t>
          </a:r>
          <a:r>
            <a:rPr lang="de-AT" sz="1000" baseline="0">
              <a:solidFill>
                <a:schemeClr val="bg1"/>
              </a:solidFill>
              <a:latin typeface="Bierstadt" panose="020B0004020202020204" pitchFamily="34" charset="0"/>
              <a:ea typeface="DIN 2014" panose="020B0504020202020204" pitchFamily="34" charset="0"/>
            </a:rPr>
            <a:t> Feldkirch</a:t>
          </a:r>
        </a:p>
        <a:p>
          <a:r>
            <a:rPr lang="de-AT" sz="1000" baseline="0">
              <a:solidFill>
                <a:schemeClr val="bg1"/>
              </a:solidFill>
              <a:latin typeface="Bierstadt" panose="020B0004020202020204" pitchFamily="34" charset="0"/>
              <a:ea typeface="DIN 2014" panose="020B0504020202020204" pitchFamily="34" charset="0"/>
            </a:rPr>
            <a:t>T +43 (0)5522/305-356</a:t>
          </a:r>
        </a:p>
        <a:p>
          <a:r>
            <a:rPr lang="de-AT" sz="1000" baseline="0">
              <a:solidFill>
                <a:schemeClr val="bg1"/>
              </a:solidFill>
              <a:latin typeface="Bierstadt" panose="020B0004020202020204" pitchFamily="34" charset="0"/>
              <a:ea typeface="DIN 2014" panose="020B0504020202020204" pitchFamily="34" charset="0"/>
            </a:rPr>
            <a:t>E statistik@wkv.at</a:t>
          </a:r>
        </a:p>
        <a:p>
          <a:r>
            <a:rPr lang="de-AT" sz="1000" baseline="0">
              <a:solidFill>
                <a:schemeClr val="bg1"/>
              </a:solidFill>
              <a:latin typeface="Bierstadt" panose="020B0004020202020204" pitchFamily="34" charset="0"/>
              <a:ea typeface="DIN 2014" panose="020B0504020202020204" pitchFamily="34" charset="0"/>
            </a:rPr>
            <a:t>W www.wkv.at/statistik</a:t>
          </a:r>
          <a:endParaRPr lang="de-AT" sz="1000">
            <a:solidFill>
              <a:schemeClr val="bg1"/>
            </a:solidFill>
            <a:latin typeface="Bierstadt" panose="020B0004020202020204" pitchFamily="34" charset="0"/>
            <a:ea typeface="DIN 2014" panose="020B0504020202020204" pitchFamily="34" charset="0"/>
          </a:endParaRPr>
        </a:p>
      </xdr:txBody>
    </xdr:sp>
    <xdr:clientData/>
  </xdr:twoCellAnchor>
  <xdr:twoCellAnchor editAs="oneCell">
    <xdr:from>
      <xdr:col>6</xdr:col>
      <xdr:colOff>379293</xdr:colOff>
      <xdr:row>0</xdr:row>
      <xdr:rowOff>124407</xdr:rowOff>
    </xdr:from>
    <xdr:to>
      <xdr:col>9</xdr:col>
      <xdr:colOff>19611</xdr:colOff>
      <xdr:row>2</xdr:row>
      <xdr:rowOff>19049</xdr:rowOff>
    </xdr:to>
    <xdr:pic>
      <xdr:nvPicPr>
        <xdr:cNvPr id="5" name="Grafik 4">
          <a:extLst>
            <a:ext uri="{FF2B5EF4-FFF2-40B4-BE49-F238E27FC236}">
              <a16:creationId xmlns:a16="http://schemas.microsoft.com/office/drawing/2014/main" id="{F63F573A-EB67-3670-A434-E539DC37D9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4068" y="124407"/>
          <a:ext cx="1926318" cy="5899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133350</xdr:colOff>
      <xdr:row>0</xdr:row>
      <xdr:rowOff>104775</xdr:rowOff>
    </xdr:from>
    <xdr:to>
      <xdr:col>7</xdr:col>
      <xdr:colOff>749152</xdr:colOff>
      <xdr:row>0</xdr:row>
      <xdr:rowOff>482760</xdr:rowOff>
    </xdr:to>
    <xdr:pic>
      <xdr:nvPicPr>
        <xdr:cNvPr id="3" name="Grafik 2">
          <a:extLst>
            <a:ext uri="{FF2B5EF4-FFF2-40B4-BE49-F238E27FC236}">
              <a16:creationId xmlns:a16="http://schemas.microsoft.com/office/drawing/2014/main" id="{5B7C26A0-3A84-70B0-1800-236DCC74284D}"/>
            </a:ext>
          </a:extLst>
        </xdr:cNvPr>
        <xdr:cNvPicPr>
          <a:picLocks noChangeAspect="1"/>
        </xdr:cNvPicPr>
      </xdr:nvPicPr>
      <xdr:blipFill>
        <a:blip xmlns:r="http://schemas.openxmlformats.org/officeDocument/2006/relationships" r:embed="rId1"/>
        <a:stretch>
          <a:fillRect/>
        </a:stretch>
      </xdr:blipFill>
      <xdr:spPr>
        <a:xfrm>
          <a:off x="4838700" y="104775"/>
          <a:ext cx="1225402" cy="3779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163830</xdr:colOff>
      <xdr:row>2</xdr:row>
      <xdr:rowOff>289560</xdr:rowOff>
    </xdr:from>
    <xdr:to>
      <xdr:col>6</xdr:col>
      <xdr:colOff>19050</xdr:colOff>
      <xdr:row>14</xdr:row>
      <xdr:rowOff>0</xdr:rowOff>
    </xdr:to>
    <xdr:graphicFrame macro="">
      <xdr:nvGraphicFramePr>
        <xdr:cNvPr id="2" name="Diagramm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10</xdr:col>
      <xdr:colOff>447675</xdr:colOff>
      <xdr:row>18</xdr:row>
      <xdr:rowOff>142875</xdr:rowOff>
    </xdr:from>
    <xdr:ext cx="428625" cy="264560"/>
    <xdr:sp macro="" textlink="">
      <xdr:nvSpPr>
        <xdr:cNvPr id="4" name="Textfeld 3">
          <a:extLst>
            <a:ext uri="{FF2B5EF4-FFF2-40B4-BE49-F238E27FC236}">
              <a16:creationId xmlns:a16="http://schemas.microsoft.com/office/drawing/2014/main" id="{00000000-0008-0000-0A00-000004000000}"/>
            </a:ext>
          </a:extLst>
        </xdr:cNvPr>
        <xdr:cNvSpPr txBox="1"/>
      </xdr:nvSpPr>
      <xdr:spPr>
        <a:xfrm>
          <a:off x="2333625" y="59283600"/>
          <a:ext cx="4286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AT" sz="1100"/>
        </a:p>
      </xdr:txBody>
    </xdr:sp>
    <xdr:clientData/>
  </xdr:oneCellAnchor>
  <xdr:twoCellAnchor>
    <xdr:from>
      <xdr:col>0</xdr:col>
      <xdr:colOff>161926</xdr:colOff>
      <xdr:row>19</xdr:row>
      <xdr:rowOff>14287</xdr:rowOff>
    </xdr:from>
    <xdr:to>
      <xdr:col>6</xdr:col>
      <xdr:colOff>0</xdr:colOff>
      <xdr:row>32</xdr:row>
      <xdr:rowOff>171450</xdr:rowOff>
    </xdr:to>
    <xdr:graphicFrame macro="">
      <xdr:nvGraphicFramePr>
        <xdr:cNvPr id="2" name="Diagramm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142875</xdr:colOff>
      <xdr:row>0</xdr:row>
      <xdr:rowOff>85725</xdr:rowOff>
    </xdr:from>
    <xdr:to>
      <xdr:col>7</xdr:col>
      <xdr:colOff>606277</xdr:colOff>
      <xdr:row>0</xdr:row>
      <xdr:rowOff>463710</xdr:rowOff>
    </xdr:to>
    <xdr:pic>
      <xdr:nvPicPr>
        <xdr:cNvPr id="3" name="Grafik 2">
          <a:extLst>
            <a:ext uri="{FF2B5EF4-FFF2-40B4-BE49-F238E27FC236}">
              <a16:creationId xmlns:a16="http://schemas.microsoft.com/office/drawing/2014/main" id="{D4D5FA18-8A45-A00E-505D-C25C9DB1EECE}"/>
            </a:ext>
          </a:extLst>
        </xdr:cNvPr>
        <xdr:cNvPicPr>
          <a:picLocks noChangeAspect="1"/>
        </xdr:cNvPicPr>
      </xdr:nvPicPr>
      <xdr:blipFill>
        <a:blip xmlns:r="http://schemas.openxmlformats.org/officeDocument/2006/relationships" r:embed="rId2"/>
        <a:stretch>
          <a:fillRect/>
        </a:stretch>
      </xdr:blipFill>
      <xdr:spPr>
        <a:xfrm>
          <a:off x="5991225" y="85725"/>
          <a:ext cx="1225402" cy="37798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295275</xdr:colOff>
      <xdr:row>0</xdr:row>
      <xdr:rowOff>85725</xdr:rowOff>
    </xdr:from>
    <xdr:to>
      <xdr:col>6</xdr:col>
      <xdr:colOff>758677</xdr:colOff>
      <xdr:row>0</xdr:row>
      <xdr:rowOff>463710</xdr:rowOff>
    </xdr:to>
    <xdr:pic>
      <xdr:nvPicPr>
        <xdr:cNvPr id="2" name="Grafik 1">
          <a:extLst>
            <a:ext uri="{FF2B5EF4-FFF2-40B4-BE49-F238E27FC236}">
              <a16:creationId xmlns:a16="http://schemas.microsoft.com/office/drawing/2014/main" id="{57B120B8-7057-B27C-375C-7F7152728253}"/>
            </a:ext>
          </a:extLst>
        </xdr:cNvPr>
        <xdr:cNvPicPr>
          <a:picLocks noChangeAspect="1"/>
        </xdr:cNvPicPr>
      </xdr:nvPicPr>
      <xdr:blipFill>
        <a:blip xmlns:r="http://schemas.openxmlformats.org/officeDocument/2006/relationships" r:embed="rId1"/>
        <a:stretch>
          <a:fillRect/>
        </a:stretch>
      </xdr:blipFill>
      <xdr:spPr>
        <a:xfrm>
          <a:off x="5181600" y="85725"/>
          <a:ext cx="1225402" cy="37798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542925</xdr:colOff>
      <xdr:row>0</xdr:row>
      <xdr:rowOff>85725</xdr:rowOff>
    </xdr:from>
    <xdr:to>
      <xdr:col>5</xdr:col>
      <xdr:colOff>6202</xdr:colOff>
      <xdr:row>0</xdr:row>
      <xdr:rowOff>463710</xdr:rowOff>
    </xdr:to>
    <xdr:pic>
      <xdr:nvPicPr>
        <xdr:cNvPr id="2" name="Grafik 1">
          <a:extLst>
            <a:ext uri="{FF2B5EF4-FFF2-40B4-BE49-F238E27FC236}">
              <a16:creationId xmlns:a16="http://schemas.microsoft.com/office/drawing/2014/main" id="{15C55B4B-F234-4A57-C8A5-E9A376CE9949}"/>
            </a:ext>
          </a:extLst>
        </xdr:cNvPr>
        <xdr:cNvPicPr>
          <a:picLocks noChangeAspect="1"/>
        </xdr:cNvPicPr>
      </xdr:nvPicPr>
      <xdr:blipFill>
        <a:blip xmlns:r="http://schemas.openxmlformats.org/officeDocument/2006/relationships" r:embed="rId1"/>
        <a:stretch>
          <a:fillRect/>
        </a:stretch>
      </xdr:blipFill>
      <xdr:spPr>
        <a:xfrm>
          <a:off x="4572000" y="85725"/>
          <a:ext cx="1225402" cy="37798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1019175</xdr:colOff>
      <xdr:row>0</xdr:row>
      <xdr:rowOff>114300</xdr:rowOff>
    </xdr:from>
    <xdr:to>
      <xdr:col>4</xdr:col>
      <xdr:colOff>1120627</xdr:colOff>
      <xdr:row>0</xdr:row>
      <xdr:rowOff>492285</xdr:rowOff>
    </xdr:to>
    <xdr:pic>
      <xdr:nvPicPr>
        <xdr:cNvPr id="2" name="Grafik 1">
          <a:extLst>
            <a:ext uri="{FF2B5EF4-FFF2-40B4-BE49-F238E27FC236}">
              <a16:creationId xmlns:a16="http://schemas.microsoft.com/office/drawing/2014/main" id="{877D8151-253D-8EC4-61E6-95AB730C8539}"/>
            </a:ext>
          </a:extLst>
        </xdr:cNvPr>
        <xdr:cNvPicPr>
          <a:picLocks noChangeAspect="1"/>
        </xdr:cNvPicPr>
      </xdr:nvPicPr>
      <xdr:blipFill>
        <a:blip xmlns:r="http://schemas.openxmlformats.org/officeDocument/2006/relationships" r:embed="rId1"/>
        <a:stretch>
          <a:fillRect/>
        </a:stretch>
      </xdr:blipFill>
      <xdr:spPr>
        <a:xfrm>
          <a:off x="5181600" y="114300"/>
          <a:ext cx="1225402" cy="3779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5</xdr:row>
      <xdr:rowOff>11430</xdr:rowOff>
    </xdr:from>
    <xdr:to>
      <xdr:col>6</xdr:col>
      <xdr:colOff>361950</xdr:colOff>
      <xdr:row>20</xdr:row>
      <xdr:rowOff>228600</xdr:rowOff>
    </xdr:to>
    <xdr:graphicFrame macro="">
      <xdr:nvGraphicFramePr>
        <xdr:cNvPr id="2" name="Diagramm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83819</xdr:colOff>
      <xdr:row>22</xdr:row>
      <xdr:rowOff>228600</xdr:rowOff>
    </xdr:from>
    <xdr:to>
      <xdr:col>6</xdr:col>
      <xdr:colOff>371475</xdr:colOff>
      <xdr:row>43</xdr:row>
      <xdr:rowOff>19050</xdr:rowOff>
    </xdr:to>
    <xdr:graphicFrame macro="">
      <xdr:nvGraphicFramePr>
        <xdr:cNvPr id="5" name="Diagramm 4">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66675</xdr:colOff>
      <xdr:row>0</xdr:row>
      <xdr:rowOff>95250</xdr:rowOff>
    </xdr:from>
    <xdr:to>
      <xdr:col>6</xdr:col>
      <xdr:colOff>644377</xdr:colOff>
      <xdr:row>0</xdr:row>
      <xdr:rowOff>473235</xdr:rowOff>
    </xdr:to>
    <xdr:pic>
      <xdr:nvPicPr>
        <xdr:cNvPr id="3" name="Grafik 2">
          <a:extLst>
            <a:ext uri="{FF2B5EF4-FFF2-40B4-BE49-F238E27FC236}">
              <a16:creationId xmlns:a16="http://schemas.microsoft.com/office/drawing/2014/main" id="{70BB2693-3CA7-2C85-6130-644F29C3A5D6}"/>
            </a:ext>
          </a:extLst>
        </xdr:cNvPr>
        <xdr:cNvPicPr>
          <a:picLocks noChangeAspect="1"/>
        </xdr:cNvPicPr>
      </xdr:nvPicPr>
      <xdr:blipFill>
        <a:blip xmlns:r="http://schemas.openxmlformats.org/officeDocument/2006/relationships" r:embed="rId3"/>
        <a:stretch>
          <a:fillRect/>
        </a:stretch>
      </xdr:blipFill>
      <xdr:spPr>
        <a:xfrm>
          <a:off x="4600575" y="95250"/>
          <a:ext cx="1225402" cy="377985"/>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0.025</cdr:x>
      <cdr:y>0.00778</cdr:y>
    </cdr:from>
    <cdr:to>
      <cdr:x>0.98125</cdr:x>
      <cdr:y>0.1129</cdr:y>
    </cdr:to>
    <cdr:sp macro="" textlink="">
      <cdr:nvSpPr>
        <cdr:cNvPr id="2" name="Textfeld 1"/>
        <cdr:cNvSpPr txBox="1"/>
      </cdr:nvSpPr>
      <cdr:spPr>
        <a:xfrm xmlns:a="http://schemas.openxmlformats.org/drawingml/2006/main">
          <a:off x="114300" y="27553"/>
          <a:ext cx="4371975" cy="372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AT" sz="1100"/>
        </a:p>
      </cdr:txBody>
    </cdr:sp>
  </cdr:relSizeAnchor>
  <cdr:relSizeAnchor xmlns:cdr="http://schemas.openxmlformats.org/drawingml/2006/chartDrawing">
    <cdr:from>
      <cdr:x>0.02083</cdr:x>
      <cdr:y>0</cdr:y>
    </cdr:from>
    <cdr:to>
      <cdr:x>0.97292</cdr:x>
      <cdr:y>0.09401</cdr:y>
    </cdr:to>
    <cdr:sp macro="" textlink="">
      <cdr:nvSpPr>
        <cdr:cNvPr id="3" name="Textfeld 2"/>
        <cdr:cNvSpPr txBox="1"/>
      </cdr:nvSpPr>
      <cdr:spPr>
        <a:xfrm xmlns:a="http://schemas.openxmlformats.org/drawingml/2006/main">
          <a:off x="110948" y="0"/>
          <a:ext cx="5071194" cy="361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AT" sz="1050" b="1"/>
            <a:t>Unselbständig Beschäftigte, Anteile nach Sparten </a:t>
          </a:r>
          <a:r>
            <a:rPr lang="de-AT" sz="1050"/>
            <a:t>(Jahresdurchschnitt 2023</a:t>
          </a:r>
          <a:r>
            <a:rPr lang="de-AT" sz="1100"/>
            <a:t>)  </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76200</xdr:colOff>
      <xdr:row>5</xdr:row>
      <xdr:rowOff>161925</xdr:rowOff>
    </xdr:from>
    <xdr:to>
      <xdr:col>8</xdr:col>
      <xdr:colOff>809624</xdr:colOff>
      <xdr:row>24</xdr:row>
      <xdr:rowOff>180975</xdr:rowOff>
    </xdr:to>
    <xdr:graphicFrame macro="">
      <xdr:nvGraphicFramePr>
        <xdr:cNvPr id="2" name="Diagramm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409575</xdr:colOff>
      <xdr:row>0</xdr:row>
      <xdr:rowOff>85725</xdr:rowOff>
    </xdr:from>
    <xdr:to>
      <xdr:col>7</xdr:col>
      <xdr:colOff>815827</xdr:colOff>
      <xdr:row>0</xdr:row>
      <xdr:rowOff>463710</xdr:rowOff>
    </xdr:to>
    <xdr:pic>
      <xdr:nvPicPr>
        <xdr:cNvPr id="3" name="Grafik 2">
          <a:extLst>
            <a:ext uri="{FF2B5EF4-FFF2-40B4-BE49-F238E27FC236}">
              <a16:creationId xmlns:a16="http://schemas.microsoft.com/office/drawing/2014/main" id="{F76A16BD-C043-2447-C208-4BCF51C55060}"/>
            </a:ext>
          </a:extLst>
        </xdr:cNvPr>
        <xdr:cNvPicPr>
          <a:picLocks noChangeAspect="1"/>
        </xdr:cNvPicPr>
      </xdr:nvPicPr>
      <xdr:blipFill>
        <a:blip xmlns:r="http://schemas.openxmlformats.org/officeDocument/2006/relationships" r:embed="rId2"/>
        <a:stretch>
          <a:fillRect/>
        </a:stretch>
      </xdr:blipFill>
      <xdr:spPr>
        <a:xfrm>
          <a:off x="6229350" y="85725"/>
          <a:ext cx="1225402" cy="37798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647700</xdr:colOff>
      <xdr:row>0</xdr:row>
      <xdr:rowOff>76200</xdr:rowOff>
    </xdr:from>
    <xdr:to>
      <xdr:col>4</xdr:col>
      <xdr:colOff>758677</xdr:colOff>
      <xdr:row>0</xdr:row>
      <xdr:rowOff>454185</xdr:rowOff>
    </xdr:to>
    <xdr:pic>
      <xdr:nvPicPr>
        <xdr:cNvPr id="2" name="Grafik 1">
          <a:extLst>
            <a:ext uri="{FF2B5EF4-FFF2-40B4-BE49-F238E27FC236}">
              <a16:creationId xmlns:a16="http://schemas.microsoft.com/office/drawing/2014/main" id="{1193F29A-9759-A7BD-C56D-7A774ABF82B8}"/>
            </a:ext>
          </a:extLst>
        </xdr:cNvPr>
        <xdr:cNvPicPr>
          <a:picLocks noChangeAspect="1"/>
        </xdr:cNvPicPr>
      </xdr:nvPicPr>
      <xdr:blipFill>
        <a:blip xmlns:r="http://schemas.openxmlformats.org/officeDocument/2006/relationships" r:embed="rId1"/>
        <a:stretch>
          <a:fillRect/>
        </a:stretch>
      </xdr:blipFill>
      <xdr:spPr>
        <a:xfrm>
          <a:off x="5086350" y="76200"/>
          <a:ext cx="1225402" cy="377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3200401</xdr:colOff>
      <xdr:row>0</xdr:row>
      <xdr:rowOff>88378</xdr:rowOff>
    </xdr:from>
    <xdr:to>
      <xdr:col>2</xdr:col>
      <xdr:colOff>894522</xdr:colOff>
      <xdr:row>0</xdr:row>
      <xdr:rowOff>465427</xdr:rowOff>
    </xdr:to>
    <xdr:pic>
      <xdr:nvPicPr>
        <xdr:cNvPr id="2" name="Grafik 1">
          <a:extLst>
            <a:ext uri="{FF2B5EF4-FFF2-40B4-BE49-F238E27FC236}">
              <a16:creationId xmlns:a16="http://schemas.microsoft.com/office/drawing/2014/main" id="{D6325214-54A8-4150-858B-52C886D910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8051" y="88378"/>
          <a:ext cx="1218371" cy="37704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742950</xdr:colOff>
      <xdr:row>0</xdr:row>
      <xdr:rowOff>66675</xdr:rowOff>
    </xdr:from>
    <xdr:to>
      <xdr:col>5</xdr:col>
      <xdr:colOff>6202</xdr:colOff>
      <xdr:row>0</xdr:row>
      <xdr:rowOff>444660</xdr:rowOff>
    </xdr:to>
    <xdr:pic>
      <xdr:nvPicPr>
        <xdr:cNvPr id="3" name="Grafik 2">
          <a:extLst>
            <a:ext uri="{FF2B5EF4-FFF2-40B4-BE49-F238E27FC236}">
              <a16:creationId xmlns:a16="http://schemas.microsoft.com/office/drawing/2014/main" id="{70366F6C-4BBB-F3DB-82BA-F968DAF02A8B}"/>
            </a:ext>
          </a:extLst>
        </xdr:cNvPr>
        <xdr:cNvPicPr>
          <a:picLocks noChangeAspect="1"/>
        </xdr:cNvPicPr>
      </xdr:nvPicPr>
      <xdr:blipFill>
        <a:blip xmlns:r="http://schemas.openxmlformats.org/officeDocument/2006/relationships" r:embed="rId1"/>
        <a:stretch>
          <a:fillRect/>
        </a:stretch>
      </xdr:blipFill>
      <xdr:spPr>
        <a:xfrm>
          <a:off x="5019675" y="66675"/>
          <a:ext cx="1225402" cy="37798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781050</xdr:colOff>
      <xdr:row>0</xdr:row>
      <xdr:rowOff>76200</xdr:rowOff>
    </xdr:from>
    <xdr:to>
      <xdr:col>4</xdr:col>
      <xdr:colOff>749152</xdr:colOff>
      <xdr:row>0</xdr:row>
      <xdr:rowOff>454185</xdr:rowOff>
    </xdr:to>
    <xdr:pic>
      <xdr:nvPicPr>
        <xdr:cNvPr id="5" name="Grafik 4">
          <a:extLst>
            <a:ext uri="{FF2B5EF4-FFF2-40B4-BE49-F238E27FC236}">
              <a16:creationId xmlns:a16="http://schemas.microsoft.com/office/drawing/2014/main" id="{73F9D379-6361-4D01-9A2B-BB586AE34CB1}"/>
            </a:ext>
          </a:extLst>
        </xdr:cNvPr>
        <xdr:cNvPicPr>
          <a:picLocks noChangeAspect="1"/>
        </xdr:cNvPicPr>
      </xdr:nvPicPr>
      <xdr:blipFill>
        <a:blip xmlns:r="http://schemas.openxmlformats.org/officeDocument/2006/relationships" r:embed="rId1"/>
        <a:stretch>
          <a:fillRect/>
        </a:stretch>
      </xdr:blipFill>
      <xdr:spPr>
        <a:xfrm>
          <a:off x="4914900" y="76200"/>
          <a:ext cx="1225402" cy="37798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89354</xdr:colOff>
      <xdr:row>17</xdr:row>
      <xdr:rowOff>19050</xdr:rowOff>
    </xdr:from>
    <xdr:to>
      <xdr:col>4</xdr:col>
      <xdr:colOff>581025</xdr:colOff>
      <xdr:row>37</xdr:row>
      <xdr:rowOff>38100</xdr:rowOff>
    </xdr:to>
    <xdr:graphicFrame macro="">
      <xdr:nvGraphicFramePr>
        <xdr:cNvPr id="2" name="Diagramm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304800</xdr:colOff>
      <xdr:row>0</xdr:row>
      <xdr:rowOff>76200</xdr:rowOff>
    </xdr:from>
    <xdr:to>
      <xdr:col>5</xdr:col>
      <xdr:colOff>6202</xdr:colOff>
      <xdr:row>0</xdr:row>
      <xdr:rowOff>454185</xdr:rowOff>
    </xdr:to>
    <xdr:pic>
      <xdr:nvPicPr>
        <xdr:cNvPr id="3" name="Grafik 2">
          <a:extLst>
            <a:ext uri="{FF2B5EF4-FFF2-40B4-BE49-F238E27FC236}">
              <a16:creationId xmlns:a16="http://schemas.microsoft.com/office/drawing/2014/main" id="{A3C169C6-D15D-CDDE-F274-E465B0875822}"/>
            </a:ext>
          </a:extLst>
        </xdr:cNvPr>
        <xdr:cNvPicPr>
          <a:picLocks noChangeAspect="1"/>
        </xdr:cNvPicPr>
      </xdr:nvPicPr>
      <xdr:blipFill>
        <a:blip xmlns:r="http://schemas.openxmlformats.org/officeDocument/2006/relationships" r:embed="rId2"/>
        <a:stretch>
          <a:fillRect/>
        </a:stretch>
      </xdr:blipFill>
      <xdr:spPr>
        <a:xfrm>
          <a:off x="5019675" y="76200"/>
          <a:ext cx="1225402" cy="37798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38100</xdr:colOff>
      <xdr:row>30</xdr:row>
      <xdr:rowOff>152400</xdr:rowOff>
    </xdr:from>
    <xdr:to>
      <xdr:col>0</xdr:col>
      <xdr:colOff>180976</xdr:colOff>
      <xdr:row>32</xdr:row>
      <xdr:rowOff>95250</xdr:rowOff>
    </xdr:to>
    <xdr:sp macro="" textlink="">
      <xdr:nvSpPr>
        <xdr:cNvPr id="3" name="Textfeld 2">
          <a:extLst>
            <a:ext uri="{FF2B5EF4-FFF2-40B4-BE49-F238E27FC236}">
              <a16:creationId xmlns:a16="http://schemas.microsoft.com/office/drawing/2014/main" id="{29B2FDF2-A020-4CAE-91CC-39131AB208A3}"/>
            </a:ext>
          </a:extLst>
        </xdr:cNvPr>
        <xdr:cNvSpPr txBox="1"/>
      </xdr:nvSpPr>
      <xdr:spPr>
        <a:xfrm>
          <a:off x="38100" y="6162675"/>
          <a:ext cx="142876"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b="1">
              <a:solidFill>
                <a:schemeClr val="tx1"/>
              </a:solidFill>
            </a:rPr>
            <a:t>1</a:t>
          </a:r>
        </a:p>
      </xdr:txBody>
    </xdr:sp>
    <xdr:clientData/>
  </xdr:twoCellAnchor>
  <xdr:twoCellAnchor editAs="oneCell">
    <xdr:from>
      <xdr:col>6</xdr:col>
      <xdr:colOff>142875</xdr:colOff>
      <xdr:row>0</xdr:row>
      <xdr:rowOff>95250</xdr:rowOff>
    </xdr:from>
    <xdr:to>
      <xdr:col>7</xdr:col>
      <xdr:colOff>606277</xdr:colOff>
      <xdr:row>0</xdr:row>
      <xdr:rowOff>473235</xdr:rowOff>
    </xdr:to>
    <xdr:pic>
      <xdr:nvPicPr>
        <xdr:cNvPr id="4" name="Grafik 3">
          <a:extLst>
            <a:ext uri="{FF2B5EF4-FFF2-40B4-BE49-F238E27FC236}">
              <a16:creationId xmlns:a16="http://schemas.microsoft.com/office/drawing/2014/main" id="{85FBFB89-DCD3-31ED-4B6A-5F484CE395E9}"/>
            </a:ext>
          </a:extLst>
        </xdr:cNvPr>
        <xdr:cNvPicPr>
          <a:picLocks noChangeAspect="1"/>
        </xdr:cNvPicPr>
      </xdr:nvPicPr>
      <xdr:blipFill>
        <a:blip xmlns:r="http://schemas.openxmlformats.org/officeDocument/2006/relationships" r:embed="rId1"/>
        <a:stretch>
          <a:fillRect/>
        </a:stretch>
      </xdr:blipFill>
      <xdr:spPr>
        <a:xfrm>
          <a:off x="5924550" y="95250"/>
          <a:ext cx="1225402" cy="37798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104775</xdr:colOff>
      <xdr:row>2</xdr:row>
      <xdr:rowOff>114300</xdr:rowOff>
    </xdr:from>
    <xdr:to>
      <xdr:col>5</xdr:col>
      <xdr:colOff>137160</xdr:colOff>
      <xdr:row>2</xdr:row>
      <xdr:rowOff>2971800</xdr:rowOff>
    </xdr:to>
    <xdr:graphicFrame macro="">
      <xdr:nvGraphicFramePr>
        <xdr:cNvPr id="8" name="Diagramm 7">
          <a:extLst>
            <a:ext uri="{FF2B5EF4-FFF2-40B4-BE49-F238E27FC236}">
              <a16:creationId xmlns:a16="http://schemas.microsoft.com/office/drawing/2014/main" id="{00000000-0008-0000-1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295275</xdr:colOff>
      <xdr:row>0</xdr:row>
      <xdr:rowOff>76200</xdr:rowOff>
    </xdr:from>
    <xdr:to>
      <xdr:col>6</xdr:col>
      <xdr:colOff>758677</xdr:colOff>
      <xdr:row>0</xdr:row>
      <xdr:rowOff>454185</xdr:rowOff>
    </xdr:to>
    <xdr:pic>
      <xdr:nvPicPr>
        <xdr:cNvPr id="2" name="Grafik 1">
          <a:extLst>
            <a:ext uri="{FF2B5EF4-FFF2-40B4-BE49-F238E27FC236}">
              <a16:creationId xmlns:a16="http://schemas.microsoft.com/office/drawing/2014/main" id="{D9757B82-4CCC-6F9F-B70A-E510D9B74CC5}"/>
            </a:ext>
          </a:extLst>
        </xdr:cNvPr>
        <xdr:cNvPicPr>
          <a:picLocks noChangeAspect="1"/>
        </xdr:cNvPicPr>
      </xdr:nvPicPr>
      <xdr:blipFill>
        <a:blip xmlns:r="http://schemas.openxmlformats.org/officeDocument/2006/relationships" r:embed="rId2"/>
        <a:stretch>
          <a:fillRect/>
        </a:stretch>
      </xdr:blipFill>
      <xdr:spPr>
        <a:xfrm>
          <a:off x="5314950" y="76200"/>
          <a:ext cx="1225402" cy="37798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180975</xdr:colOff>
      <xdr:row>0</xdr:row>
      <xdr:rowOff>104775</xdr:rowOff>
    </xdr:from>
    <xdr:to>
      <xdr:col>7</xdr:col>
      <xdr:colOff>758677</xdr:colOff>
      <xdr:row>0</xdr:row>
      <xdr:rowOff>482760</xdr:rowOff>
    </xdr:to>
    <xdr:pic>
      <xdr:nvPicPr>
        <xdr:cNvPr id="2" name="Grafik 1">
          <a:extLst>
            <a:ext uri="{FF2B5EF4-FFF2-40B4-BE49-F238E27FC236}">
              <a16:creationId xmlns:a16="http://schemas.microsoft.com/office/drawing/2014/main" id="{250A47DE-0A83-4A3E-06F7-6F500F37931F}"/>
            </a:ext>
          </a:extLst>
        </xdr:cNvPr>
        <xdr:cNvPicPr>
          <a:picLocks noChangeAspect="1"/>
        </xdr:cNvPicPr>
      </xdr:nvPicPr>
      <xdr:blipFill>
        <a:blip xmlns:r="http://schemas.openxmlformats.org/officeDocument/2006/relationships" r:embed="rId1"/>
        <a:stretch>
          <a:fillRect/>
        </a:stretch>
      </xdr:blipFill>
      <xdr:spPr>
        <a:xfrm>
          <a:off x="5553075" y="104775"/>
          <a:ext cx="1225402" cy="37798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152400</xdr:colOff>
      <xdr:row>22</xdr:row>
      <xdr:rowOff>186690</xdr:rowOff>
    </xdr:from>
    <xdr:to>
      <xdr:col>9</xdr:col>
      <xdr:colOff>38100</xdr:colOff>
      <xdr:row>42</xdr:row>
      <xdr:rowOff>180975</xdr:rowOff>
    </xdr:to>
    <xdr:graphicFrame macro="">
      <xdr:nvGraphicFramePr>
        <xdr:cNvPr id="9" name="Diagramm 8">
          <a:extLst>
            <a:ext uri="{FF2B5EF4-FFF2-40B4-BE49-F238E27FC236}">
              <a16:creationId xmlns:a16="http://schemas.microsoft.com/office/drawing/2014/main" id="{00000000-0008-0000-17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304800</xdr:colOff>
      <xdr:row>0</xdr:row>
      <xdr:rowOff>76200</xdr:rowOff>
    </xdr:from>
    <xdr:to>
      <xdr:col>7</xdr:col>
      <xdr:colOff>6202</xdr:colOff>
      <xdr:row>0</xdr:row>
      <xdr:rowOff>454185</xdr:rowOff>
    </xdr:to>
    <xdr:pic>
      <xdr:nvPicPr>
        <xdr:cNvPr id="2" name="Grafik 1">
          <a:extLst>
            <a:ext uri="{FF2B5EF4-FFF2-40B4-BE49-F238E27FC236}">
              <a16:creationId xmlns:a16="http://schemas.microsoft.com/office/drawing/2014/main" id="{904CC811-A44D-680F-E141-21B83B71FEC0}"/>
            </a:ext>
          </a:extLst>
        </xdr:cNvPr>
        <xdr:cNvPicPr>
          <a:picLocks noChangeAspect="1"/>
        </xdr:cNvPicPr>
      </xdr:nvPicPr>
      <xdr:blipFill>
        <a:blip xmlns:r="http://schemas.openxmlformats.org/officeDocument/2006/relationships" r:embed="rId2"/>
        <a:stretch>
          <a:fillRect/>
        </a:stretch>
      </xdr:blipFill>
      <xdr:spPr>
        <a:xfrm>
          <a:off x="4114800" y="76200"/>
          <a:ext cx="1225402" cy="37798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24</xdr:col>
      <xdr:colOff>668655</xdr:colOff>
      <xdr:row>17</xdr:row>
      <xdr:rowOff>38100</xdr:rowOff>
    </xdr:from>
    <xdr:to>
      <xdr:col>24</xdr:col>
      <xdr:colOff>714374</xdr:colOff>
      <xdr:row>17</xdr:row>
      <xdr:rowOff>83819</xdr:rowOff>
    </xdr:to>
    <xdr:graphicFrame macro="">
      <xdr:nvGraphicFramePr>
        <xdr:cNvPr id="2" name="Diagramm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xdr:colOff>
      <xdr:row>14</xdr:row>
      <xdr:rowOff>1</xdr:rowOff>
    </xdr:from>
    <xdr:to>
      <xdr:col>9</xdr:col>
      <xdr:colOff>9525</xdr:colOff>
      <xdr:row>31</xdr:row>
      <xdr:rowOff>180975</xdr:rowOff>
    </xdr:to>
    <xdr:graphicFrame macro="">
      <xdr:nvGraphicFramePr>
        <xdr:cNvPr id="3" name="Diagramm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314325</xdr:colOff>
      <xdr:row>0</xdr:row>
      <xdr:rowOff>76200</xdr:rowOff>
    </xdr:from>
    <xdr:to>
      <xdr:col>10</xdr:col>
      <xdr:colOff>15727</xdr:colOff>
      <xdr:row>0</xdr:row>
      <xdr:rowOff>454185</xdr:rowOff>
    </xdr:to>
    <xdr:pic>
      <xdr:nvPicPr>
        <xdr:cNvPr id="4" name="Grafik 3">
          <a:extLst>
            <a:ext uri="{FF2B5EF4-FFF2-40B4-BE49-F238E27FC236}">
              <a16:creationId xmlns:a16="http://schemas.microsoft.com/office/drawing/2014/main" id="{9E2AF4FE-39AB-C956-E36E-4741765A471D}"/>
            </a:ext>
          </a:extLst>
        </xdr:cNvPr>
        <xdr:cNvPicPr>
          <a:picLocks noChangeAspect="1"/>
        </xdr:cNvPicPr>
      </xdr:nvPicPr>
      <xdr:blipFill>
        <a:blip xmlns:r="http://schemas.openxmlformats.org/officeDocument/2006/relationships" r:embed="rId3"/>
        <a:stretch>
          <a:fillRect/>
        </a:stretch>
      </xdr:blipFill>
      <xdr:spPr>
        <a:xfrm>
          <a:off x="6772275" y="76200"/>
          <a:ext cx="1225402" cy="37798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89535</xdr:colOff>
      <xdr:row>20</xdr:row>
      <xdr:rowOff>177165</xdr:rowOff>
    </xdr:from>
    <xdr:to>
      <xdr:col>8</xdr:col>
      <xdr:colOff>752475</xdr:colOff>
      <xdr:row>39</xdr:row>
      <xdr:rowOff>184785</xdr:rowOff>
    </xdr:to>
    <xdr:graphicFrame macro="">
      <xdr:nvGraphicFramePr>
        <xdr:cNvPr id="2" name="Diagramm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304800</xdr:colOff>
      <xdr:row>0</xdr:row>
      <xdr:rowOff>85725</xdr:rowOff>
    </xdr:from>
    <xdr:to>
      <xdr:col>8</xdr:col>
      <xdr:colOff>6202</xdr:colOff>
      <xdr:row>0</xdr:row>
      <xdr:rowOff>463710</xdr:rowOff>
    </xdr:to>
    <xdr:pic>
      <xdr:nvPicPr>
        <xdr:cNvPr id="3" name="Grafik 2">
          <a:extLst>
            <a:ext uri="{FF2B5EF4-FFF2-40B4-BE49-F238E27FC236}">
              <a16:creationId xmlns:a16="http://schemas.microsoft.com/office/drawing/2014/main" id="{163E3FF7-3BA6-F57E-B19F-66659115EF09}"/>
            </a:ext>
          </a:extLst>
        </xdr:cNvPr>
        <xdr:cNvPicPr>
          <a:picLocks noChangeAspect="1"/>
        </xdr:cNvPicPr>
      </xdr:nvPicPr>
      <xdr:blipFill>
        <a:blip xmlns:r="http://schemas.openxmlformats.org/officeDocument/2006/relationships" r:embed="rId2"/>
        <a:stretch>
          <a:fillRect/>
        </a:stretch>
      </xdr:blipFill>
      <xdr:spPr>
        <a:xfrm>
          <a:off x="4876800" y="85725"/>
          <a:ext cx="1225402" cy="37798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6</xdr:col>
      <xdr:colOff>295275</xdr:colOff>
      <xdr:row>0</xdr:row>
      <xdr:rowOff>76200</xdr:rowOff>
    </xdr:from>
    <xdr:to>
      <xdr:col>7</xdr:col>
      <xdr:colOff>758677</xdr:colOff>
      <xdr:row>0</xdr:row>
      <xdr:rowOff>454185</xdr:rowOff>
    </xdr:to>
    <xdr:pic>
      <xdr:nvPicPr>
        <xdr:cNvPr id="3" name="Grafik 2">
          <a:extLst>
            <a:ext uri="{FF2B5EF4-FFF2-40B4-BE49-F238E27FC236}">
              <a16:creationId xmlns:a16="http://schemas.microsoft.com/office/drawing/2014/main" id="{23450D30-3D70-5843-4D8C-37BDE1D60C1F}"/>
            </a:ext>
          </a:extLst>
        </xdr:cNvPr>
        <xdr:cNvPicPr>
          <a:picLocks noChangeAspect="1"/>
        </xdr:cNvPicPr>
      </xdr:nvPicPr>
      <xdr:blipFill>
        <a:blip xmlns:r="http://schemas.openxmlformats.org/officeDocument/2006/relationships" r:embed="rId1"/>
        <a:stretch>
          <a:fillRect/>
        </a:stretch>
      </xdr:blipFill>
      <xdr:spPr>
        <a:xfrm>
          <a:off x="5705475" y="76200"/>
          <a:ext cx="1225402" cy="3779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333375</xdr:colOff>
      <xdr:row>0</xdr:row>
      <xdr:rowOff>114300</xdr:rowOff>
    </xdr:from>
    <xdr:to>
      <xdr:col>7</xdr:col>
      <xdr:colOff>774838</xdr:colOff>
      <xdr:row>0</xdr:row>
      <xdr:rowOff>490935</xdr:rowOff>
    </xdr:to>
    <xdr:pic>
      <xdr:nvPicPr>
        <xdr:cNvPr id="3" name="Grafik 2">
          <a:extLst>
            <a:ext uri="{FF2B5EF4-FFF2-40B4-BE49-F238E27FC236}">
              <a16:creationId xmlns:a16="http://schemas.microsoft.com/office/drawing/2014/main" id="{022FE0ED-FEA2-4439-A3F1-11B2CBC199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675" y="114300"/>
          <a:ext cx="1222513" cy="37663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190500</xdr:colOff>
      <xdr:row>0</xdr:row>
      <xdr:rowOff>104775</xdr:rowOff>
    </xdr:from>
    <xdr:to>
      <xdr:col>7</xdr:col>
      <xdr:colOff>1415902</xdr:colOff>
      <xdr:row>0</xdr:row>
      <xdr:rowOff>482760</xdr:rowOff>
    </xdr:to>
    <xdr:pic>
      <xdr:nvPicPr>
        <xdr:cNvPr id="3" name="Grafik 2">
          <a:extLst>
            <a:ext uri="{FF2B5EF4-FFF2-40B4-BE49-F238E27FC236}">
              <a16:creationId xmlns:a16="http://schemas.microsoft.com/office/drawing/2014/main" id="{6A044963-23D3-53D1-F9C9-76E6178250DA}"/>
            </a:ext>
          </a:extLst>
        </xdr:cNvPr>
        <xdr:cNvPicPr>
          <a:picLocks noChangeAspect="1"/>
        </xdr:cNvPicPr>
      </xdr:nvPicPr>
      <xdr:blipFill>
        <a:blip xmlns:r="http://schemas.openxmlformats.org/officeDocument/2006/relationships" r:embed="rId1"/>
        <a:stretch>
          <a:fillRect/>
        </a:stretch>
      </xdr:blipFill>
      <xdr:spPr>
        <a:xfrm>
          <a:off x="5524500" y="104775"/>
          <a:ext cx="1225402" cy="377985"/>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35</xdr:col>
      <xdr:colOff>238124</xdr:colOff>
      <xdr:row>16</xdr:row>
      <xdr:rowOff>11431</xdr:rowOff>
    </xdr:from>
    <xdr:to>
      <xdr:col>35</xdr:col>
      <xdr:colOff>283843</xdr:colOff>
      <xdr:row>16</xdr:row>
      <xdr:rowOff>57150</xdr:rowOff>
    </xdr:to>
    <xdr:graphicFrame macro="">
      <xdr:nvGraphicFramePr>
        <xdr:cNvPr id="3" name="Diagramm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354329</xdr:colOff>
      <xdr:row>16</xdr:row>
      <xdr:rowOff>9525</xdr:rowOff>
    </xdr:from>
    <xdr:to>
      <xdr:col>8</xdr:col>
      <xdr:colOff>752475</xdr:colOff>
      <xdr:row>31</xdr:row>
      <xdr:rowOff>129540</xdr:rowOff>
    </xdr:to>
    <xdr:graphicFrame macro="">
      <xdr:nvGraphicFramePr>
        <xdr:cNvPr id="2" name="Diagramm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304800</xdr:colOff>
      <xdr:row>0</xdr:row>
      <xdr:rowOff>85725</xdr:rowOff>
    </xdr:from>
    <xdr:to>
      <xdr:col>9</xdr:col>
      <xdr:colOff>6202</xdr:colOff>
      <xdr:row>0</xdr:row>
      <xdr:rowOff>463710</xdr:rowOff>
    </xdr:to>
    <xdr:pic>
      <xdr:nvPicPr>
        <xdr:cNvPr id="5" name="Grafik 4">
          <a:extLst>
            <a:ext uri="{FF2B5EF4-FFF2-40B4-BE49-F238E27FC236}">
              <a16:creationId xmlns:a16="http://schemas.microsoft.com/office/drawing/2014/main" id="{F2FB487C-8BF3-9A15-9F1A-D040D1E0EC17}"/>
            </a:ext>
          </a:extLst>
        </xdr:cNvPr>
        <xdr:cNvPicPr>
          <a:picLocks noChangeAspect="1"/>
        </xdr:cNvPicPr>
      </xdr:nvPicPr>
      <xdr:blipFill>
        <a:blip xmlns:r="http://schemas.openxmlformats.org/officeDocument/2006/relationships" r:embed="rId3"/>
        <a:stretch>
          <a:fillRect/>
        </a:stretch>
      </xdr:blipFill>
      <xdr:spPr>
        <a:xfrm>
          <a:off x="6324600" y="85725"/>
          <a:ext cx="1225402" cy="377985"/>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112394</xdr:colOff>
      <xdr:row>21</xdr:row>
      <xdr:rowOff>1903</xdr:rowOff>
    </xdr:from>
    <xdr:to>
      <xdr:col>5</xdr:col>
      <xdr:colOff>1343025</xdr:colOff>
      <xdr:row>40</xdr:row>
      <xdr:rowOff>9524</xdr:rowOff>
    </xdr:to>
    <xdr:graphicFrame macro="">
      <xdr:nvGraphicFramePr>
        <xdr:cNvPr id="2" name="Diagramm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9525</xdr:colOff>
      <xdr:row>62</xdr:row>
      <xdr:rowOff>158116</xdr:rowOff>
    </xdr:from>
    <xdr:to>
      <xdr:col>30</xdr:col>
      <xdr:colOff>85725</xdr:colOff>
      <xdr:row>63</xdr:row>
      <xdr:rowOff>13335</xdr:rowOff>
    </xdr:to>
    <xdr:graphicFrame macro="">
      <xdr:nvGraphicFramePr>
        <xdr:cNvPr id="4" name="Diagramm 3">
          <a:extLst>
            <a:ext uri="{FF2B5EF4-FFF2-40B4-BE49-F238E27FC236}">
              <a16:creationId xmlns:a16="http://schemas.microsoft.com/office/drawing/2014/main" id="{00000000-0008-0000-1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63</xdr:row>
      <xdr:rowOff>9524</xdr:rowOff>
    </xdr:from>
    <xdr:to>
      <xdr:col>5</xdr:col>
      <xdr:colOff>1343024</xdr:colOff>
      <xdr:row>82</xdr:row>
      <xdr:rowOff>19050</xdr:rowOff>
    </xdr:to>
    <xdr:graphicFrame macro="">
      <xdr:nvGraphicFramePr>
        <xdr:cNvPr id="3" name="Diagramm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139411</xdr:colOff>
      <xdr:row>0</xdr:row>
      <xdr:rowOff>62345</xdr:rowOff>
    </xdr:from>
    <xdr:to>
      <xdr:col>6</xdr:col>
      <xdr:colOff>12263</xdr:colOff>
      <xdr:row>0</xdr:row>
      <xdr:rowOff>437732</xdr:rowOff>
    </xdr:to>
    <xdr:pic>
      <xdr:nvPicPr>
        <xdr:cNvPr id="5" name="Grafik 4">
          <a:extLst>
            <a:ext uri="{FF2B5EF4-FFF2-40B4-BE49-F238E27FC236}">
              <a16:creationId xmlns:a16="http://schemas.microsoft.com/office/drawing/2014/main" id="{24D33A1F-BC6B-4320-A87A-8C018A182797}"/>
            </a:ext>
          </a:extLst>
        </xdr:cNvPr>
        <xdr:cNvPicPr>
          <a:picLocks noChangeAspect="1"/>
        </xdr:cNvPicPr>
      </xdr:nvPicPr>
      <xdr:blipFill>
        <a:blip xmlns:r="http://schemas.openxmlformats.org/officeDocument/2006/relationships" r:embed="rId4"/>
        <a:stretch>
          <a:fillRect/>
        </a:stretch>
      </xdr:blipFill>
      <xdr:spPr>
        <a:xfrm>
          <a:off x="4892386" y="62345"/>
          <a:ext cx="1225402" cy="37538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171450</xdr:colOff>
      <xdr:row>18</xdr:row>
      <xdr:rowOff>0</xdr:rowOff>
    </xdr:from>
    <xdr:to>
      <xdr:col>6</xdr:col>
      <xdr:colOff>1076324</xdr:colOff>
      <xdr:row>34</xdr:row>
      <xdr:rowOff>0</xdr:rowOff>
    </xdr:to>
    <xdr:graphicFrame macro="">
      <xdr:nvGraphicFramePr>
        <xdr:cNvPr id="5" name="Diagramm 4">
          <a:extLst>
            <a:ext uri="{FF2B5EF4-FFF2-40B4-BE49-F238E27FC236}">
              <a16:creationId xmlns:a16="http://schemas.microsoft.com/office/drawing/2014/main" id="{00000000-0008-0000-1E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581025</xdr:colOff>
      <xdr:row>0</xdr:row>
      <xdr:rowOff>104775</xdr:rowOff>
    </xdr:from>
    <xdr:to>
      <xdr:col>7</xdr:col>
      <xdr:colOff>720577</xdr:colOff>
      <xdr:row>0</xdr:row>
      <xdr:rowOff>482760</xdr:rowOff>
    </xdr:to>
    <xdr:pic>
      <xdr:nvPicPr>
        <xdr:cNvPr id="2" name="Grafik 1">
          <a:extLst>
            <a:ext uri="{FF2B5EF4-FFF2-40B4-BE49-F238E27FC236}">
              <a16:creationId xmlns:a16="http://schemas.microsoft.com/office/drawing/2014/main" id="{04A3ED0B-E59F-DAF6-D54A-055A341958FB}"/>
            </a:ext>
          </a:extLst>
        </xdr:cNvPr>
        <xdr:cNvPicPr>
          <a:picLocks noChangeAspect="1"/>
        </xdr:cNvPicPr>
      </xdr:nvPicPr>
      <xdr:blipFill>
        <a:blip xmlns:r="http://schemas.openxmlformats.org/officeDocument/2006/relationships" r:embed="rId2"/>
        <a:stretch>
          <a:fillRect/>
        </a:stretch>
      </xdr:blipFill>
      <xdr:spPr>
        <a:xfrm>
          <a:off x="5219700" y="104775"/>
          <a:ext cx="1225402" cy="377985"/>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136072</xdr:colOff>
      <xdr:row>20</xdr:row>
      <xdr:rowOff>9407</xdr:rowOff>
    </xdr:from>
    <xdr:to>
      <xdr:col>9</xdr:col>
      <xdr:colOff>0</xdr:colOff>
      <xdr:row>40</xdr:row>
      <xdr:rowOff>179497</xdr:rowOff>
    </xdr:to>
    <xdr:graphicFrame macro="">
      <xdr:nvGraphicFramePr>
        <xdr:cNvPr id="3" name="Diagramm 2">
          <a:extLst>
            <a:ext uri="{FF2B5EF4-FFF2-40B4-BE49-F238E27FC236}">
              <a16:creationId xmlns:a16="http://schemas.microsoft.com/office/drawing/2014/main" id="{00000000-0008-0000-1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22</xdr:col>
      <xdr:colOff>129352</xdr:colOff>
      <xdr:row>0</xdr:row>
      <xdr:rowOff>94075</xdr:rowOff>
    </xdr:from>
    <xdr:to>
      <xdr:col>23</xdr:col>
      <xdr:colOff>590402</xdr:colOff>
      <xdr:row>0</xdr:row>
      <xdr:rowOff>468490</xdr:rowOff>
    </xdr:to>
    <xdr:pic>
      <xdr:nvPicPr>
        <xdr:cNvPr id="2" name="Grafik 1">
          <a:extLst>
            <a:ext uri="{FF2B5EF4-FFF2-40B4-BE49-F238E27FC236}">
              <a16:creationId xmlns:a16="http://schemas.microsoft.com/office/drawing/2014/main" id="{E6A2F875-3440-5603-685A-B97F0EBE00BE}"/>
            </a:ext>
          </a:extLst>
        </xdr:cNvPr>
        <xdr:cNvPicPr>
          <a:picLocks noChangeAspect="1"/>
        </xdr:cNvPicPr>
      </xdr:nvPicPr>
      <xdr:blipFill>
        <a:blip xmlns:r="http://schemas.openxmlformats.org/officeDocument/2006/relationships" r:embed="rId2"/>
        <a:stretch>
          <a:fillRect/>
        </a:stretch>
      </xdr:blipFill>
      <xdr:spPr>
        <a:xfrm>
          <a:off x="17403704" y="94075"/>
          <a:ext cx="1225402" cy="377985"/>
        </a:xfrm>
        <a:prstGeom prst="rect">
          <a:avLst/>
        </a:prstGeom>
      </xdr:spPr>
    </xdr:pic>
    <xdr:clientData/>
  </xdr:twoCellAnchor>
  <xdr:twoCellAnchor editAs="oneCell">
    <xdr:from>
      <xdr:col>8</xdr:col>
      <xdr:colOff>314667</xdr:colOff>
      <xdr:row>0</xdr:row>
      <xdr:rowOff>85046</xdr:rowOff>
    </xdr:from>
    <xdr:to>
      <xdr:col>10</xdr:col>
      <xdr:colOff>9265</xdr:colOff>
      <xdr:row>0</xdr:row>
      <xdr:rowOff>463031</xdr:rowOff>
    </xdr:to>
    <xdr:pic>
      <xdr:nvPicPr>
        <xdr:cNvPr id="4" name="Grafik 3">
          <a:extLst>
            <a:ext uri="{FF2B5EF4-FFF2-40B4-BE49-F238E27FC236}">
              <a16:creationId xmlns:a16="http://schemas.microsoft.com/office/drawing/2014/main" id="{A11D1E7F-14B1-4DE4-B7A0-C6ED500C5BA7}"/>
            </a:ext>
          </a:extLst>
        </xdr:cNvPr>
        <xdr:cNvPicPr>
          <a:picLocks noChangeAspect="1"/>
        </xdr:cNvPicPr>
      </xdr:nvPicPr>
      <xdr:blipFill>
        <a:blip xmlns:r="http://schemas.openxmlformats.org/officeDocument/2006/relationships" r:embed="rId2"/>
        <a:stretch>
          <a:fillRect/>
        </a:stretch>
      </xdr:blipFill>
      <xdr:spPr>
        <a:xfrm>
          <a:off x="6897122" y="85046"/>
          <a:ext cx="1225402" cy="377985"/>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7</xdr:col>
      <xdr:colOff>304800</xdr:colOff>
      <xdr:row>0</xdr:row>
      <xdr:rowOff>104775</xdr:rowOff>
    </xdr:from>
    <xdr:to>
      <xdr:col>9</xdr:col>
      <xdr:colOff>6202</xdr:colOff>
      <xdr:row>0</xdr:row>
      <xdr:rowOff>482760</xdr:rowOff>
    </xdr:to>
    <xdr:pic>
      <xdr:nvPicPr>
        <xdr:cNvPr id="2" name="Grafik 1">
          <a:extLst>
            <a:ext uri="{FF2B5EF4-FFF2-40B4-BE49-F238E27FC236}">
              <a16:creationId xmlns:a16="http://schemas.microsoft.com/office/drawing/2014/main" id="{AE2FE511-32F8-66D2-BB1B-67128B84F923}"/>
            </a:ext>
          </a:extLst>
        </xdr:cNvPr>
        <xdr:cNvPicPr>
          <a:picLocks noChangeAspect="1"/>
        </xdr:cNvPicPr>
      </xdr:nvPicPr>
      <xdr:blipFill>
        <a:blip xmlns:r="http://schemas.openxmlformats.org/officeDocument/2006/relationships" r:embed="rId1"/>
        <a:stretch>
          <a:fillRect/>
        </a:stretch>
      </xdr:blipFill>
      <xdr:spPr>
        <a:xfrm>
          <a:off x="5953125" y="104775"/>
          <a:ext cx="1225402" cy="377985"/>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295275</xdr:colOff>
      <xdr:row>0</xdr:row>
      <xdr:rowOff>95250</xdr:rowOff>
    </xdr:from>
    <xdr:to>
      <xdr:col>7</xdr:col>
      <xdr:colOff>758677</xdr:colOff>
      <xdr:row>0</xdr:row>
      <xdr:rowOff>473235</xdr:rowOff>
    </xdr:to>
    <xdr:pic>
      <xdr:nvPicPr>
        <xdr:cNvPr id="2" name="Grafik 1">
          <a:extLst>
            <a:ext uri="{FF2B5EF4-FFF2-40B4-BE49-F238E27FC236}">
              <a16:creationId xmlns:a16="http://schemas.microsoft.com/office/drawing/2014/main" id="{4D71051C-CDEE-B0AB-A731-B881A3BEE275}"/>
            </a:ext>
          </a:extLst>
        </xdr:cNvPr>
        <xdr:cNvPicPr>
          <a:picLocks noChangeAspect="1"/>
        </xdr:cNvPicPr>
      </xdr:nvPicPr>
      <xdr:blipFill>
        <a:blip xmlns:r="http://schemas.openxmlformats.org/officeDocument/2006/relationships" r:embed="rId1"/>
        <a:stretch>
          <a:fillRect/>
        </a:stretch>
      </xdr:blipFill>
      <xdr:spPr>
        <a:xfrm>
          <a:off x="7972425" y="95250"/>
          <a:ext cx="1225402" cy="37798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190500</xdr:colOff>
      <xdr:row>18</xdr:row>
      <xdr:rowOff>9525</xdr:rowOff>
    </xdr:from>
    <xdr:to>
      <xdr:col>6</xdr:col>
      <xdr:colOff>9525</xdr:colOff>
      <xdr:row>39</xdr:row>
      <xdr:rowOff>0</xdr:rowOff>
    </xdr:to>
    <xdr:graphicFrame macro="">
      <xdr:nvGraphicFramePr>
        <xdr:cNvPr id="2" name="Diagramm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19050</xdr:colOff>
      <xdr:row>1</xdr:row>
      <xdr:rowOff>9525</xdr:rowOff>
    </xdr:from>
    <xdr:to>
      <xdr:col>19</xdr:col>
      <xdr:colOff>482452</xdr:colOff>
      <xdr:row>3</xdr:row>
      <xdr:rowOff>6510</xdr:rowOff>
    </xdr:to>
    <xdr:pic>
      <xdr:nvPicPr>
        <xdr:cNvPr id="3" name="Grafik 2">
          <a:extLst>
            <a:ext uri="{FF2B5EF4-FFF2-40B4-BE49-F238E27FC236}">
              <a16:creationId xmlns:a16="http://schemas.microsoft.com/office/drawing/2014/main" id="{28ABDA94-BBF3-FCFE-B8DA-6A49D26EA726}"/>
            </a:ext>
          </a:extLst>
        </xdr:cNvPr>
        <xdr:cNvPicPr>
          <a:picLocks noChangeAspect="1"/>
        </xdr:cNvPicPr>
      </xdr:nvPicPr>
      <xdr:blipFill>
        <a:blip xmlns:r="http://schemas.openxmlformats.org/officeDocument/2006/relationships" r:embed="rId2"/>
        <a:stretch>
          <a:fillRect/>
        </a:stretch>
      </xdr:blipFill>
      <xdr:spPr>
        <a:xfrm>
          <a:off x="13973175" y="200025"/>
          <a:ext cx="1225402" cy="377985"/>
        </a:xfrm>
        <a:prstGeom prst="rect">
          <a:avLst/>
        </a:prstGeom>
      </xdr:spPr>
    </xdr:pic>
    <xdr:clientData/>
  </xdr:twoCellAnchor>
  <xdr:twoCellAnchor editAs="oneCell">
    <xdr:from>
      <xdr:col>5</xdr:col>
      <xdr:colOff>295275</xdr:colOff>
      <xdr:row>0</xdr:row>
      <xdr:rowOff>85725</xdr:rowOff>
    </xdr:from>
    <xdr:to>
      <xdr:col>6</xdr:col>
      <xdr:colOff>758677</xdr:colOff>
      <xdr:row>0</xdr:row>
      <xdr:rowOff>463710</xdr:rowOff>
    </xdr:to>
    <xdr:pic>
      <xdr:nvPicPr>
        <xdr:cNvPr id="5" name="Grafik 4">
          <a:extLst>
            <a:ext uri="{FF2B5EF4-FFF2-40B4-BE49-F238E27FC236}">
              <a16:creationId xmlns:a16="http://schemas.microsoft.com/office/drawing/2014/main" id="{78A15734-84A7-4D1F-91FB-D9A1873EE0A6}"/>
            </a:ext>
          </a:extLst>
        </xdr:cNvPr>
        <xdr:cNvPicPr>
          <a:picLocks noChangeAspect="1"/>
        </xdr:cNvPicPr>
      </xdr:nvPicPr>
      <xdr:blipFill>
        <a:blip xmlns:r="http://schemas.openxmlformats.org/officeDocument/2006/relationships" r:embed="rId2"/>
        <a:stretch>
          <a:fillRect/>
        </a:stretch>
      </xdr:blipFill>
      <xdr:spPr>
        <a:xfrm>
          <a:off x="8258175" y="85725"/>
          <a:ext cx="1225402" cy="377985"/>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3324225</xdr:colOff>
      <xdr:row>0</xdr:row>
      <xdr:rowOff>76200</xdr:rowOff>
    </xdr:from>
    <xdr:to>
      <xdr:col>5</xdr:col>
      <xdr:colOff>853927</xdr:colOff>
      <xdr:row>0</xdr:row>
      <xdr:rowOff>454185</xdr:rowOff>
    </xdr:to>
    <xdr:pic>
      <xdr:nvPicPr>
        <xdr:cNvPr id="2" name="Grafik 1">
          <a:extLst>
            <a:ext uri="{FF2B5EF4-FFF2-40B4-BE49-F238E27FC236}">
              <a16:creationId xmlns:a16="http://schemas.microsoft.com/office/drawing/2014/main" id="{66B05E27-9173-EFA8-A032-BF7BC8F174F6}"/>
            </a:ext>
          </a:extLst>
        </xdr:cNvPr>
        <xdr:cNvPicPr>
          <a:picLocks noChangeAspect="1"/>
        </xdr:cNvPicPr>
      </xdr:nvPicPr>
      <xdr:blipFill>
        <a:blip xmlns:r="http://schemas.openxmlformats.org/officeDocument/2006/relationships" r:embed="rId1"/>
        <a:stretch>
          <a:fillRect/>
        </a:stretch>
      </xdr:blipFill>
      <xdr:spPr>
        <a:xfrm>
          <a:off x="8372475" y="76200"/>
          <a:ext cx="1225402" cy="37798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xdr:from>
      <xdr:col>2</xdr:col>
      <xdr:colOff>263769</xdr:colOff>
      <xdr:row>1</xdr:row>
      <xdr:rowOff>124558</xdr:rowOff>
    </xdr:from>
    <xdr:to>
      <xdr:col>2</xdr:col>
      <xdr:colOff>635244</xdr:colOff>
      <xdr:row>3</xdr:row>
      <xdr:rowOff>95983</xdr:rowOff>
    </xdr:to>
    <xdr:sp macro="" textlink="">
      <xdr:nvSpPr>
        <xdr:cNvPr id="2" name="Textfeld 1">
          <a:extLst>
            <a:ext uri="{FF2B5EF4-FFF2-40B4-BE49-F238E27FC236}">
              <a16:creationId xmlns:a16="http://schemas.microsoft.com/office/drawing/2014/main" id="{1A8D0325-75FF-42C8-B9BA-BE771F034A59}"/>
            </a:ext>
          </a:extLst>
        </xdr:cNvPr>
        <xdr:cNvSpPr txBox="1"/>
      </xdr:nvSpPr>
      <xdr:spPr>
        <a:xfrm>
          <a:off x="2454519" y="315058"/>
          <a:ext cx="3714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b="1">
              <a:solidFill>
                <a:schemeClr val="tx1"/>
              </a:solidFill>
            </a:rPr>
            <a:t>1</a:t>
          </a:r>
        </a:p>
      </xdr:txBody>
    </xdr:sp>
    <xdr:clientData/>
  </xdr:twoCellAnchor>
  <xdr:twoCellAnchor>
    <xdr:from>
      <xdr:col>0</xdr:col>
      <xdr:colOff>14654</xdr:colOff>
      <xdr:row>69</xdr:row>
      <xdr:rowOff>161193</xdr:rowOff>
    </xdr:from>
    <xdr:to>
      <xdr:col>0</xdr:col>
      <xdr:colOff>386129</xdr:colOff>
      <xdr:row>71</xdr:row>
      <xdr:rowOff>110637</xdr:rowOff>
    </xdr:to>
    <xdr:sp macro="" textlink="">
      <xdr:nvSpPr>
        <xdr:cNvPr id="3" name="Textfeld 2">
          <a:extLst>
            <a:ext uri="{FF2B5EF4-FFF2-40B4-BE49-F238E27FC236}">
              <a16:creationId xmlns:a16="http://schemas.microsoft.com/office/drawing/2014/main" id="{AD2BFD11-A5F4-4553-A061-3BC8CD1BF27B}"/>
            </a:ext>
          </a:extLst>
        </xdr:cNvPr>
        <xdr:cNvSpPr txBox="1"/>
      </xdr:nvSpPr>
      <xdr:spPr>
        <a:xfrm>
          <a:off x="14654" y="15774866"/>
          <a:ext cx="3714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b="0">
              <a:solidFill>
                <a:schemeClr val="tx1"/>
              </a:solidFill>
              <a:latin typeface="Trebuchet MS" panose="020B0603020202020204" pitchFamily="34" charset="0"/>
            </a:rPr>
            <a:t>1</a:t>
          </a:r>
        </a:p>
      </xdr:txBody>
    </xdr:sp>
    <xdr:clientData/>
  </xdr:twoCellAnchor>
  <xdr:twoCellAnchor editAs="oneCell">
    <xdr:from>
      <xdr:col>4</xdr:col>
      <xdr:colOff>636710</xdr:colOff>
      <xdr:row>0</xdr:row>
      <xdr:rowOff>91587</xdr:rowOff>
    </xdr:from>
    <xdr:to>
      <xdr:col>6</xdr:col>
      <xdr:colOff>14262</xdr:colOff>
      <xdr:row>0</xdr:row>
      <xdr:rowOff>469572</xdr:rowOff>
    </xdr:to>
    <xdr:pic>
      <xdr:nvPicPr>
        <xdr:cNvPr id="4" name="Grafik 3">
          <a:extLst>
            <a:ext uri="{FF2B5EF4-FFF2-40B4-BE49-F238E27FC236}">
              <a16:creationId xmlns:a16="http://schemas.microsoft.com/office/drawing/2014/main" id="{32EFFB4D-AA0D-2BA8-D143-5CA7C5D7E14C}"/>
            </a:ext>
          </a:extLst>
        </xdr:cNvPr>
        <xdr:cNvPicPr>
          <a:picLocks noChangeAspect="1"/>
        </xdr:cNvPicPr>
      </xdr:nvPicPr>
      <xdr:blipFill>
        <a:blip xmlns:r="http://schemas.openxmlformats.org/officeDocument/2006/relationships" r:embed="rId1"/>
        <a:stretch>
          <a:fillRect/>
        </a:stretch>
      </xdr:blipFill>
      <xdr:spPr>
        <a:xfrm>
          <a:off x="4770560" y="91587"/>
          <a:ext cx="1225402" cy="3779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14</xdr:row>
      <xdr:rowOff>33337</xdr:rowOff>
    </xdr:from>
    <xdr:to>
      <xdr:col>3</xdr:col>
      <xdr:colOff>523875</xdr:colOff>
      <xdr:row>28</xdr:row>
      <xdr:rowOff>109537</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295275</xdr:colOff>
      <xdr:row>0</xdr:row>
      <xdr:rowOff>85725</xdr:rowOff>
    </xdr:from>
    <xdr:to>
      <xdr:col>7</xdr:col>
      <xdr:colOff>736738</xdr:colOff>
      <xdr:row>0</xdr:row>
      <xdr:rowOff>462360</xdr:rowOff>
    </xdr:to>
    <xdr:pic>
      <xdr:nvPicPr>
        <xdr:cNvPr id="3" name="Grafik 2">
          <a:extLst>
            <a:ext uri="{FF2B5EF4-FFF2-40B4-BE49-F238E27FC236}">
              <a16:creationId xmlns:a16="http://schemas.microsoft.com/office/drawing/2014/main" id="{3A81FC9C-44AC-4DF3-9C73-473039DBC0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1575" y="85725"/>
          <a:ext cx="1222513" cy="376635"/>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190499</xdr:colOff>
      <xdr:row>8</xdr:row>
      <xdr:rowOff>196215</xdr:rowOff>
    </xdr:from>
    <xdr:to>
      <xdr:col>6</xdr:col>
      <xdr:colOff>752475</xdr:colOff>
      <xdr:row>22</xdr:row>
      <xdr:rowOff>180975</xdr:rowOff>
    </xdr:to>
    <xdr:graphicFrame macro="">
      <xdr:nvGraphicFramePr>
        <xdr:cNvPr id="5" name="Diagramm 4">
          <a:extLst>
            <a:ext uri="{FF2B5EF4-FFF2-40B4-BE49-F238E27FC236}">
              <a16:creationId xmlns:a16="http://schemas.microsoft.com/office/drawing/2014/main" id="{00000000-0008-0000-2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100224</xdr:colOff>
      <xdr:row>0</xdr:row>
      <xdr:rowOff>95250</xdr:rowOff>
    </xdr:from>
    <xdr:to>
      <xdr:col>6</xdr:col>
      <xdr:colOff>758677</xdr:colOff>
      <xdr:row>1</xdr:row>
      <xdr:rowOff>28575</xdr:rowOff>
    </xdr:to>
    <xdr:pic>
      <xdr:nvPicPr>
        <xdr:cNvPr id="2" name="Grafik 1">
          <a:extLst>
            <a:ext uri="{FF2B5EF4-FFF2-40B4-BE49-F238E27FC236}">
              <a16:creationId xmlns:a16="http://schemas.microsoft.com/office/drawing/2014/main" id="{C476AF16-7F1F-1F34-1F0C-978687B8958B}"/>
            </a:ext>
          </a:extLst>
        </xdr:cNvPr>
        <xdr:cNvPicPr>
          <a:picLocks noChangeAspect="1"/>
        </xdr:cNvPicPr>
      </xdr:nvPicPr>
      <xdr:blipFill>
        <a:blip xmlns:r="http://schemas.openxmlformats.org/officeDocument/2006/relationships" r:embed="rId2"/>
        <a:stretch>
          <a:fillRect/>
        </a:stretch>
      </xdr:blipFill>
      <xdr:spPr>
        <a:xfrm>
          <a:off x="5167524" y="95250"/>
          <a:ext cx="1420453" cy="4381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xdr:from>
      <xdr:col>0</xdr:col>
      <xdr:colOff>200025</xdr:colOff>
      <xdr:row>3</xdr:row>
      <xdr:rowOff>0</xdr:rowOff>
    </xdr:from>
    <xdr:to>
      <xdr:col>8</xdr:col>
      <xdr:colOff>1</xdr:colOff>
      <xdr:row>18</xdr:row>
      <xdr:rowOff>180975</xdr:rowOff>
    </xdr:to>
    <xdr:graphicFrame macro="">
      <xdr:nvGraphicFramePr>
        <xdr:cNvPr id="7" name="Diagramm 6">
          <a:extLst>
            <a:ext uri="{FF2B5EF4-FFF2-40B4-BE49-F238E27FC236}">
              <a16:creationId xmlns:a16="http://schemas.microsoft.com/office/drawing/2014/main" id="{00000000-0008-0000-2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219075</xdr:colOff>
      <xdr:row>0</xdr:row>
      <xdr:rowOff>95250</xdr:rowOff>
    </xdr:from>
    <xdr:to>
      <xdr:col>7</xdr:col>
      <xdr:colOff>720577</xdr:colOff>
      <xdr:row>0</xdr:row>
      <xdr:rowOff>473235</xdr:rowOff>
    </xdr:to>
    <xdr:pic>
      <xdr:nvPicPr>
        <xdr:cNvPr id="2" name="Grafik 1">
          <a:extLst>
            <a:ext uri="{FF2B5EF4-FFF2-40B4-BE49-F238E27FC236}">
              <a16:creationId xmlns:a16="http://schemas.microsoft.com/office/drawing/2014/main" id="{0D8B4A07-EABE-39C6-7304-C7F28EFE3316}"/>
            </a:ext>
          </a:extLst>
        </xdr:cNvPr>
        <xdr:cNvPicPr>
          <a:picLocks noChangeAspect="1"/>
        </xdr:cNvPicPr>
      </xdr:nvPicPr>
      <xdr:blipFill>
        <a:blip xmlns:r="http://schemas.openxmlformats.org/officeDocument/2006/relationships" r:embed="rId2"/>
        <a:stretch>
          <a:fillRect/>
        </a:stretch>
      </xdr:blipFill>
      <xdr:spPr>
        <a:xfrm>
          <a:off x="6191250" y="95250"/>
          <a:ext cx="1225402" cy="377985"/>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175259</xdr:colOff>
      <xdr:row>72</xdr:row>
      <xdr:rowOff>9525</xdr:rowOff>
    </xdr:from>
    <xdr:to>
      <xdr:col>7</xdr:col>
      <xdr:colOff>752475</xdr:colOff>
      <xdr:row>92</xdr:row>
      <xdr:rowOff>9525</xdr:rowOff>
    </xdr:to>
    <xdr:graphicFrame macro="">
      <xdr:nvGraphicFramePr>
        <xdr:cNvPr id="5" name="Diagramm 4">
          <a:extLst>
            <a:ext uri="{FF2B5EF4-FFF2-40B4-BE49-F238E27FC236}">
              <a16:creationId xmlns:a16="http://schemas.microsoft.com/office/drawing/2014/main" id="{00000000-0008-0000-2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304800</xdr:colOff>
      <xdr:row>0</xdr:row>
      <xdr:rowOff>95250</xdr:rowOff>
    </xdr:from>
    <xdr:to>
      <xdr:col>8</xdr:col>
      <xdr:colOff>6202</xdr:colOff>
      <xdr:row>0</xdr:row>
      <xdr:rowOff>473235</xdr:rowOff>
    </xdr:to>
    <xdr:pic>
      <xdr:nvPicPr>
        <xdr:cNvPr id="2" name="Grafik 1">
          <a:extLst>
            <a:ext uri="{FF2B5EF4-FFF2-40B4-BE49-F238E27FC236}">
              <a16:creationId xmlns:a16="http://schemas.microsoft.com/office/drawing/2014/main" id="{EF369934-8E8D-C5E6-D103-116606F73CCA}"/>
            </a:ext>
          </a:extLst>
        </xdr:cNvPr>
        <xdr:cNvPicPr>
          <a:picLocks noChangeAspect="1"/>
        </xdr:cNvPicPr>
      </xdr:nvPicPr>
      <xdr:blipFill>
        <a:blip xmlns:r="http://schemas.openxmlformats.org/officeDocument/2006/relationships" r:embed="rId2"/>
        <a:stretch>
          <a:fillRect/>
        </a:stretch>
      </xdr:blipFill>
      <xdr:spPr>
        <a:xfrm>
          <a:off x="4857750" y="95250"/>
          <a:ext cx="1225402" cy="377985"/>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7</xdr:col>
      <xdr:colOff>304800</xdr:colOff>
      <xdr:row>0</xdr:row>
      <xdr:rowOff>95250</xdr:rowOff>
    </xdr:from>
    <xdr:to>
      <xdr:col>9</xdr:col>
      <xdr:colOff>6202</xdr:colOff>
      <xdr:row>0</xdr:row>
      <xdr:rowOff>473235</xdr:rowOff>
    </xdr:to>
    <xdr:pic>
      <xdr:nvPicPr>
        <xdr:cNvPr id="2" name="Grafik 1">
          <a:extLst>
            <a:ext uri="{FF2B5EF4-FFF2-40B4-BE49-F238E27FC236}">
              <a16:creationId xmlns:a16="http://schemas.microsoft.com/office/drawing/2014/main" id="{27D67847-EEEB-F72C-B8F5-EB3F4C1C0F38}"/>
            </a:ext>
          </a:extLst>
        </xdr:cNvPr>
        <xdr:cNvPicPr>
          <a:picLocks noChangeAspect="1"/>
        </xdr:cNvPicPr>
      </xdr:nvPicPr>
      <xdr:blipFill>
        <a:blip xmlns:r="http://schemas.openxmlformats.org/officeDocument/2006/relationships" r:embed="rId1"/>
        <a:stretch>
          <a:fillRect/>
        </a:stretch>
      </xdr:blipFill>
      <xdr:spPr>
        <a:xfrm>
          <a:off x="6991350" y="95250"/>
          <a:ext cx="1225402" cy="377985"/>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4</xdr:col>
      <xdr:colOff>495300</xdr:colOff>
      <xdr:row>0</xdr:row>
      <xdr:rowOff>104775</xdr:rowOff>
    </xdr:from>
    <xdr:to>
      <xdr:col>6</xdr:col>
      <xdr:colOff>6202</xdr:colOff>
      <xdr:row>0</xdr:row>
      <xdr:rowOff>482760</xdr:rowOff>
    </xdr:to>
    <xdr:pic>
      <xdr:nvPicPr>
        <xdr:cNvPr id="2" name="Grafik 1">
          <a:extLst>
            <a:ext uri="{FF2B5EF4-FFF2-40B4-BE49-F238E27FC236}">
              <a16:creationId xmlns:a16="http://schemas.microsoft.com/office/drawing/2014/main" id="{A459C208-1763-D107-71B5-0AE6AE82D7CC}"/>
            </a:ext>
          </a:extLst>
        </xdr:cNvPr>
        <xdr:cNvPicPr>
          <a:picLocks noChangeAspect="1"/>
        </xdr:cNvPicPr>
      </xdr:nvPicPr>
      <xdr:blipFill>
        <a:blip xmlns:r="http://schemas.openxmlformats.org/officeDocument/2006/relationships" r:embed="rId1"/>
        <a:stretch>
          <a:fillRect/>
        </a:stretch>
      </xdr:blipFill>
      <xdr:spPr>
        <a:xfrm>
          <a:off x="5353050" y="104775"/>
          <a:ext cx="1225402" cy="377985"/>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219075</xdr:colOff>
      <xdr:row>62</xdr:row>
      <xdr:rowOff>175961</xdr:rowOff>
    </xdr:from>
    <xdr:to>
      <xdr:col>11</xdr:col>
      <xdr:colOff>0</xdr:colOff>
      <xdr:row>81</xdr:row>
      <xdr:rowOff>180975</xdr:rowOff>
    </xdr:to>
    <xdr:graphicFrame macro="">
      <xdr:nvGraphicFramePr>
        <xdr:cNvPr id="2" name="Diagramm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20</xdr:row>
      <xdr:rowOff>181475</xdr:rowOff>
    </xdr:from>
    <xdr:to>
      <xdr:col>9</xdr:col>
      <xdr:colOff>714375</xdr:colOff>
      <xdr:row>40</xdr:row>
      <xdr:rowOff>164431</xdr:rowOff>
    </xdr:to>
    <xdr:graphicFrame macro="">
      <xdr:nvGraphicFramePr>
        <xdr:cNvPr id="3" name="Diagramm 2">
          <a:extLst>
            <a:ext uri="{FF2B5EF4-FFF2-40B4-BE49-F238E27FC236}">
              <a16:creationId xmlns:a16="http://schemas.microsoft.com/office/drawing/2014/main" id="{00000000-0008-0000-2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48126</xdr:colOff>
      <xdr:row>0</xdr:row>
      <xdr:rowOff>95250</xdr:rowOff>
    </xdr:from>
    <xdr:to>
      <xdr:col>11</xdr:col>
      <xdr:colOff>0</xdr:colOff>
      <xdr:row>1</xdr:row>
      <xdr:rowOff>20840</xdr:rowOff>
    </xdr:to>
    <xdr:pic>
      <xdr:nvPicPr>
        <xdr:cNvPr id="5" name="Grafik 4">
          <a:extLst>
            <a:ext uri="{FF2B5EF4-FFF2-40B4-BE49-F238E27FC236}">
              <a16:creationId xmlns:a16="http://schemas.microsoft.com/office/drawing/2014/main" id="{E5C74B2D-AF9C-06CC-BD69-60DCFA8B5458}"/>
            </a:ext>
          </a:extLst>
        </xdr:cNvPr>
        <xdr:cNvPicPr>
          <a:picLocks noChangeAspect="1"/>
        </xdr:cNvPicPr>
      </xdr:nvPicPr>
      <xdr:blipFill>
        <a:blip xmlns:r="http://schemas.openxmlformats.org/officeDocument/2006/relationships" r:embed="rId3"/>
        <a:stretch>
          <a:fillRect/>
        </a:stretch>
      </xdr:blipFill>
      <xdr:spPr>
        <a:xfrm>
          <a:off x="8334876" y="95250"/>
          <a:ext cx="1399674" cy="430415"/>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3</xdr:col>
      <xdr:colOff>9525</xdr:colOff>
      <xdr:row>0</xdr:row>
      <xdr:rowOff>85726</xdr:rowOff>
    </xdr:from>
    <xdr:to>
      <xdr:col>4</xdr:col>
      <xdr:colOff>691149</xdr:colOff>
      <xdr:row>1</xdr:row>
      <xdr:rowOff>28575</xdr:rowOff>
    </xdr:to>
    <xdr:pic>
      <xdr:nvPicPr>
        <xdr:cNvPr id="2" name="Grafik 1">
          <a:extLst>
            <a:ext uri="{FF2B5EF4-FFF2-40B4-BE49-F238E27FC236}">
              <a16:creationId xmlns:a16="http://schemas.microsoft.com/office/drawing/2014/main" id="{DA92B9C4-EF4C-4FAF-DB9C-73414A72DBBD}"/>
            </a:ext>
          </a:extLst>
        </xdr:cNvPr>
        <xdr:cNvPicPr>
          <a:picLocks noChangeAspect="1"/>
        </xdr:cNvPicPr>
      </xdr:nvPicPr>
      <xdr:blipFill>
        <a:blip xmlns:r="http://schemas.openxmlformats.org/officeDocument/2006/relationships" r:embed="rId1"/>
        <a:stretch>
          <a:fillRect/>
        </a:stretch>
      </xdr:blipFill>
      <xdr:spPr>
        <a:xfrm>
          <a:off x="6257925" y="85726"/>
          <a:ext cx="1443624" cy="447674"/>
        </a:xfrm>
        <a:prstGeom prst="rect">
          <a:avLst/>
        </a:prstGeom>
      </xdr:spPr>
    </xdr:pic>
    <xdr:clientData/>
  </xdr:twoCellAnchor>
  <xdr:twoCellAnchor editAs="oneCell">
    <xdr:from>
      <xdr:col>0</xdr:col>
      <xdr:colOff>1573934</xdr:colOff>
      <xdr:row>12</xdr:row>
      <xdr:rowOff>95251</xdr:rowOff>
    </xdr:from>
    <xdr:to>
      <xdr:col>2</xdr:col>
      <xdr:colOff>839</xdr:colOff>
      <xdr:row>26</xdr:row>
      <xdr:rowOff>180975</xdr:rowOff>
    </xdr:to>
    <xdr:pic>
      <xdr:nvPicPr>
        <xdr:cNvPr id="4" name="Grafik 3">
          <a:extLst>
            <a:ext uri="{FF2B5EF4-FFF2-40B4-BE49-F238E27FC236}">
              <a16:creationId xmlns:a16="http://schemas.microsoft.com/office/drawing/2014/main" id="{0614D0D4-FF53-4E79-8A15-1F94D304FE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3934" y="2695576"/>
          <a:ext cx="2255955" cy="2752724"/>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186690</xdr:colOff>
      <xdr:row>17</xdr:row>
      <xdr:rowOff>30480</xdr:rowOff>
    </xdr:from>
    <xdr:to>
      <xdr:col>6</xdr:col>
      <xdr:colOff>3810</xdr:colOff>
      <xdr:row>32</xdr:row>
      <xdr:rowOff>91440</xdr:rowOff>
    </xdr:to>
    <xdr:graphicFrame macro="">
      <xdr:nvGraphicFramePr>
        <xdr:cNvPr id="2" name="Diagramm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0.83816</cdr:x>
      <cdr:y>0.64946</cdr:y>
    </cdr:from>
    <cdr:to>
      <cdr:x>0.99114</cdr:x>
      <cdr:y>0.76359</cdr:y>
    </cdr:to>
    <cdr:sp macro="" textlink="">
      <cdr:nvSpPr>
        <cdr:cNvPr id="2" name="Textfeld 1"/>
        <cdr:cNvSpPr txBox="1"/>
      </cdr:nvSpPr>
      <cdr:spPr>
        <a:xfrm xmlns:a="http://schemas.openxmlformats.org/drawingml/2006/main">
          <a:off x="3966210" y="1821180"/>
          <a:ext cx="723900" cy="3200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AT" sz="1100"/>
        </a:p>
      </cdr:txBody>
    </cdr:sp>
  </cdr:relSizeAnchor>
</c:userShapes>
</file>

<file path=xl/drawings/drawing49.xml><?xml version="1.0" encoding="utf-8"?>
<xdr:wsDr xmlns:xdr="http://schemas.openxmlformats.org/drawingml/2006/spreadsheetDrawing" xmlns:a="http://schemas.openxmlformats.org/drawingml/2006/main">
  <xdr:twoCellAnchor>
    <xdr:from>
      <xdr:col>0</xdr:col>
      <xdr:colOff>129540</xdr:colOff>
      <xdr:row>21</xdr:row>
      <xdr:rowOff>95250</xdr:rowOff>
    </xdr:from>
    <xdr:to>
      <xdr:col>6</xdr:col>
      <xdr:colOff>731520</xdr:colOff>
      <xdr:row>41</xdr:row>
      <xdr:rowOff>0</xdr:rowOff>
    </xdr:to>
    <xdr:graphicFrame macro="">
      <xdr:nvGraphicFramePr>
        <xdr:cNvPr id="2" name="Diagramm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342900</xdr:colOff>
      <xdr:row>0</xdr:row>
      <xdr:rowOff>104775</xdr:rowOff>
    </xdr:from>
    <xdr:to>
      <xdr:col>8</xdr:col>
      <xdr:colOff>3313</xdr:colOff>
      <xdr:row>0</xdr:row>
      <xdr:rowOff>481410</xdr:rowOff>
    </xdr:to>
    <xdr:pic>
      <xdr:nvPicPr>
        <xdr:cNvPr id="2" name="Grafik 1">
          <a:extLst>
            <a:ext uri="{FF2B5EF4-FFF2-40B4-BE49-F238E27FC236}">
              <a16:creationId xmlns:a16="http://schemas.microsoft.com/office/drawing/2014/main" id="{5438E4D3-1D56-47BF-8CAE-8D456DCCE0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9200" y="104775"/>
          <a:ext cx="1222513" cy="3766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342900</xdr:colOff>
      <xdr:row>0</xdr:row>
      <xdr:rowOff>85725</xdr:rowOff>
    </xdr:from>
    <xdr:to>
      <xdr:col>7</xdr:col>
      <xdr:colOff>780221</xdr:colOff>
      <xdr:row>0</xdr:row>
      <xdr:rowOff>462774</xdr:rowOff>
    </xdr:to>
    <xdr:pic>
      <xdr:nvPicPr>
        <xdr:cNvPr id="2" name="Grafik 1">
          <a:extLst>
            <a:ext uri="{FF2B5EF4-FFF2-40B4-BE49-F238E27FC236}">
              <a16:creationId xmlns:a16="http://schemas.microsoft.com/office/drawing/2014/main" id="{3C05A490-7D37-4072-8D0D-C1F388CBAD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3625" y="85725"/>
          <a:ext cx="1218371" cy="3770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209550</xdr:colOff>
      <xdr:row>32</xdr:row>
      <xdr:rowOff>0</xdr:rowOff>
    </xdr:from>
    <xdr:to>
      <xdr:col>5</xdr:col>
      <xdr:colOff>771525</xdr:colOff>
      <xdr:row>48</xdr:row>
      <xdr:rowOff>143934</xdr:rowOff>
    </xdr:to>
    <xdr:graphicFrame macro="">
      <xdr:nvGraphicFramePr>
        <xdr:cNvPr id="4" name="Diagramm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7</xdr:row>
      <xdr:rowOff>28575</xdr:rowOff>
    </xdr:from>
    <xdr:to>
      <xdr:col>8</xdr:col>
      <xdr:colOff>114300</xdr:colOff>
      <xdr:row>25</xdr:row>
      <xdr:rowOff>161925</xdr:rowOff>
    </xdr:to>
    <xdr:graphicFrame macro="">
      <xdr:nvGraphicFramePr>
        <xdr:cNvPr id="6" name="Diagramm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342900</xdr:colOff>
      <xdr:row>0</xdr:row>
      <xdr:rowOff>76200</xdr:rowOff>
    </xdr:from>
    <xdr:to>
      <xdr:col>8</xdr:col>
      <xdr:colOff>3313</xdr:colOff>
      <xdr:row>0</xdr:row>
      <xdr:rowOff>452835</xdr:rowOff>
    </xdr:to>
    <xdr:pic>
      <xdr:nvPicPr>
        <xdr:cNvPr id="2" name="Grafik 1">
          <a:extLst>
            <a:ext uri="{FF2B5EF4-FFF2-40B4-BE49-F238E27FC236}">
              <a16:creationId xmlns:a16="http://schemas.microsoft.com/office/drawing/2014/main" id="{49C13DA6-2F5C-40EF-B0F8-D3D20E9042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29200" y="76200"/>
          <a:ext cx="1222513" cy="376635"/>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0.01659</cdr:x>
      <cdr:y>0.95519</cdr:y>
    </cdr:from>
    <cdr:to>
      <cdr:x>0.06335</cdr:x>
      <cdr:y>0.99057</cdr:y>
    </cdr:to>
    <cdr:sp macro="" textlink="">
      <cdr:nvSpPr>
        <cdr:cNvPr id="2" name="Rechteck 1"/>
        <cdr:cNvSpPr/>
      </cdr:nvSpPr>
      <cdr:spPr>
        <a:xfrm xmlns:a="http://schemas.openxmlformats.org/drawingml/2006/main">
          <a:off x="104776" y="3857625"/>
          <a:ext cx="295275" cy="14287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de-DE"/>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4</xdr:col>
      <xdr:colOff>485775</xdr:colOff>
      <xdr:row>0</xdr:row>
      <xdr:rowOff>66675</xdr:rowOff>
    </xdr:from>
    <xdr:to>
      <xdr:col>5</xdr:col>
      <xdr:colOff>749152</xdr:colOff>
      <xdr:row>0</xdr:row>
      <xdr:rowOff>444660</xdr:rowOff>
    </xdr:to>
    <xdr:pic>
      <xdr:nvPicPr>
        <xdr:cNvPr id="3" name="Grafik 2">
          <a:extLst>
            <a:ext uri="{FF2B5EF4-FFF2-40B4-BE49-F238E27FC236}">
              <a16:creationId xmlns:a16="http://schemas.microsoft.com/office/drawing/2014/main" id="{04D4A396-F875-C4ED-88AB-11BE03608A91}"/>
            </a:ext>
          </a:extLst>
        </xdr:cNvPr>
        <xdr:cNvPicPr>
          <a:picLocks noChangeAspect="1"/>
        </xdr:cNvPicPr>
      </xdr:nvPicPr>
      <xdr:blipFill>
        <a:blip xmlns:r="http://schemas.openxmlformats.org/officeDocument/2006/relationships" r:embed="rId1"/>
        <a:stretch>
          <a:fillRect/>
        </a:stretch>
      </xdr:blipFill>
      <xdr:spPr>
        <a:xfrm>
          <a:off x="6000750" y="66675"/>
          <a:ext cx="1225402" cy="377985"/>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4.bin"/><Relationship Id="rId4" Type="http://schemas.openxmlformats.org/officeDocument/2006/relationships/hyperlink" Target="http://www.wkv.at/statistik"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drawing" Target="../drawings/drawing11.xml"/><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drawing" Target="../drawings/drawing12.xml"/><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drawing" Target="../drawings/drawing13.xml"/><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drawing" Target="../drawings/drawing14.xml"/><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drawing" Target="../drawings/drawing15.xml"/><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drawing" Target="../drawings/drawing16.xml"/><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5" Type="http://schemas.openxmlformats.org/officeDocument/2006/relationships/drawing" Target="../drawings/drawing18.xml"/><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5" Type="http://schemas.openxmlformats.org/officeDocument/2006/relationships/drawing" Target="../drawings/drawing19.xml"/><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drawing" Target="../drawings/drawing20.xml"/><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5" Type="http://schemas.openxmlformats.org/officeDocument/2006/relationships/drawing" Target="../drawings/drawing21.xml"/><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drawing" Target="../drawings/drawing22.xml"/><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5" Type="http://schemas.openxmlformats.org/officeDocument/2006/relationships/drawing" Target="../drawings/drawing23.xml"/><Relationship Id="rId4" Type="http://schemas.openxmlformats.org/officeDocument/2006/relationships/printerSettings" Target="../printerSettings/printerSettings8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drawing" Target="../drawings/drawing24.xml"/><Relationship Id="rId4" Type="http://schemas.openxmlformats.org/officeDocument/2006/relationships/printerSettings" Target="../printerSettings/printerSettings8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5" Type="http://schemas.openxmlformats.org/officeDocument/2006/relationships/drawing" Target="../drawings/drawing25.xml"/><Relationship Id="rId4" Type="http://schemas.openxmlformats.org/officeDocument/2006/relationships/printerSettings" Target="../printerSettings/printerSettings9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drawing" Target="../drawings/drawing26.xml"/><Relationship Id="rId4" Type="http://schemas.openxmlformats.org/officeDocument/2006/relationships/printerSettings" Target="../printerSettings/printerSettings9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5" Type="http://schemas.openxmlformats.org/officeDocument/2006/relationships/drawing" Target="../drawings/drawing27.xml"/><Relationship Id="rId4" Type="http://schemas.openxmlformats.org/officeDocument/2006/relationships/printerSettings" Target="../printerSettings/printerSettings10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5" Type="http://schemas.openxmlformats.org/officeDocument/2006/relationships/drawing" Target="../drawings/drawing28.xml"/><Relationship Id="rId4" Type="http://schemas.openxmlformats.org/officeDocument/2006/relationships/printerSettings" Target="../printerSettings/printerSettings10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drawing" Target="../drawings/drawing29.xml"/><Relationship Id="rId4" Type="http://schemas.openxmlformats.org/officeDocument/2006/relationships/printerSettings" Target="../printerSettings/printerSettings108.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drawing" Target="../drawings/drawing30.xml"/><Relationship Id="rId4" Type="http://schemas.openxmlformats.org/officeDocument/2006/relationships/printerSettings" Target="../printerSettings/printerSettings11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5" Type="http://schemas.openxmlformats.org/officeDocument/2006/relationships/drawing" Target="../drawings/drawing31.xml"/><Relationship Id="rId4" Type="http://schemas.openxmlformats.org/officeDocument/2006/relationships/printerSettings" Target="../printerSettings/printerSettings11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5" Type="http://schemas.openxmlformats.org/officeDocument/2006/relationships/drawing" Target="../drawings/drawing32.xml"/><Relationship Id="rId4" Type="http://schemas.openxmlformats.org/officeDocument/2006/relationships/printerSettings" Target="../printerSettings/printerSettings12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drawing" Target="../drawings/drawing33.xml"/><Relationship Id="rId4" Type="http://schemas.openxmlformats.org/officeDocument/2006/relationships/printerSettings" Target="../printerSettings/printerSettings12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5" Type="http://schemas.openxmlformats.org/officeDocument/2006/relationships/drawing" Target="../drawings/drawing34.xml"/><Relationship Id="rId4" Type="http://schemas.openxmlformats.org/officeDocument/2006/relationships/printerSettings" Target="../printerSettings/printerSettings12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5" Type="http://schemas.openxmlformats.org/officeDocument/2006/relationships/drawing" Target="../drawings/drawing35.xml"/><Relationship Id="rId4" Type="http://schemas.openxmlformats.org/officeDocument/2006/relationships/printerSettings" Target="../printerSettings/printerSettings132.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5" Type="http://schemas.openxmlformats.org/officeDocument/2006/relationships/drawing" Target="../drawings/drawing36.xml"/><Relationship Id="rId4" Type="http://schemas.openxmlformats.org/officeDocument/2006/relationships/printerSettings" Target="../printerSettings/printerSettings136.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5" Type="http://schemas.openxmlformats.org/officeDocument/2006/relationships/drawing" Target="../drawings/drawing37.xml"/><Relationship Id="rId4" Type="http://schemas.openxmlformats.org/officeDocument/2006/relationships/printerSettings" Target="../printerSettings/printerSettings140.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5" Type="http://schemas.openxmlformats.org/officeDocument/2006/relationships/drawing" Target="../drawings/drawing38.xml"/><Relationship Id="rId4" Type="http://schemas.openxmlformats.org/officeDocument/2006/relationships/printerSettings" Target="../printerSettings/printerSettings144.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5" Type="http://schemas.openxmlformats.org/officeDocument/2006/relationships/drawing" Target="../drawings/drawing39.xml"/><Relationship Id="rId4" Type="http://schemas.openxmlformats.org/officeDocument/2006/relationships/printerSettings" Target="../printerSettings/printerSettings148.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51.bin"/><Relationship Id="rId2" Type="http://schemas.openxmlformats.org/officeDocument/2006/relationships/printerSettings" Target="../printerSettings/printerSettings150.bin"/><Relationship Id="rId1" Type="http://schemas.openxmlformats.org/officeDocument/2006/relationships/printerSettings" Target="../printerSettings/printerSettings149.bin"/><Relationship Id="rId5" Type="http://schemas.openxmlformats.org/officeDocument/2006/relationships/drawing" Target="../drawings/drawing40.xml"/><Relationship Id="rId4" Type="http://schemas.openxmlformats.org/officeDocument/2006/relationships/printerSettings" Target="../printerSettings/printerSettings15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55.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5" Type="http://schemas.openxmlformats.org/officeDocument/2006/relationships/drawing" Target="../drawings/drawing41.xml"/><Relationship Id="rId4" Type="http://schemas.openxmlformats.org/officeDocument/2006/relationships/printerSettings" Target="../printerSettings/printerSettings15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4.xml"/><Relationship Id="rId4"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5" Type="http://schemas.openxmlformats.org/officeDocument/2006/relationships/drawing" Target="../drawings/drawing42.xml"/><Relationship Id="rId4" Type="http://schemas.openxmlformats.org/officeDocument/2006/relationships/printerSettings" Target="../printerSettings/printerSettings16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63.bin"/><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5" Type="http://schemas.openxmlformats.org/officeDocument/2006/relationships/drawing" Target="../drawings/drawing43.xml"/><Relationship Id="rId4" Type="http://schemas.openxmlformats.org/officeDocument/2006/relationships/printerSettings" Target="../printerSettings/printerSettings164.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67.bin"/><Relationship Id="rId2" Type="http://schemas.openxmlformats.org/officeDocument/2006/relationships/printerSettings" Target="../printerSettings/printerSettings166.bin"/><Relationship Id="rId1" Type="http://schemas.openxmlformats.org/officeDocument/2006/relationships/printerSettings" Target="../printerSettings/printerSettings165.bin"/><Relationship Id="rId5" Type="http://schemas.openxmlformats.org/officeDocument/2006/relationships/drawing" Target="../drawings/drawing44.xml"/><Relationship Id="rId4" Type="http://schemas.openxmlformats.org/officeDocument/2006/relationships/printerSettings" Target="../printerSettings/printerSettings168.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5" Type="http://schemas.openxmlformats.org/officeDocument/2006/relationships/drawing" Target="../drawings/drawing45.xml"/><Relationship Id="rId4" Type="http://schemas.openxmlformats.org/officeDocument/2006/relationships/printerSettings" Target="../printerSettings/printerSettings172.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75.bin"/><Relationship Id="rId2" Type="http://schemas.openxmlformats.org/officeDocument/2006/relationships/printerSettings" Target="../printerSettings/printerSettings174.bin"/><Relationship Id="rId1" Type="http://schemas.openxmlformats.org/officeDocument/2006/relationships/printerSettings" Target="../printerSettings/printerSettings173.bin"/><Relationship Id="rId5" Type="http://schemas.openxmlformats.org/officeDocument/2006/relationships/drawing" Target="../drawings/drawing46.xml"/><Relationship Id="rId4" Type="http://schemas.openxmlformats.org/officeDocument/2006/relationships/printerSettings" Target="../printerSettings/printerSettings176.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79.bin"/><Relationship Id="rId2" Type="http://schemas.openxmlformats.org/officeDocument/2006/relationships/printerSettings" Target="../printerSettings/printerSettings178.bin"/><Relationship Id="rId1" Type="http://schemas.openxmlformats.org/officeDocument/2006/relationships/printerSettings" Target="../printerSettings/printerSettings177.bin"/><Relationship Id="rId5" Type="http://schemas.openxmlformats.org/officeDocument/2006/relationships/drawing" Target="../drawings/drawing47.xml"/><Relationship Id="rId4" Type="http://schemas.openxmlformats.org/officeDocument/2006/relationships/printerSettings" Target="../printerSettings/printerSettings180.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83.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5" Type="http://schemas.openxmlformats.org/officeDocument/2006/relationships/drawing" Target="../drawings/drawing49.xml"/><Relationship Id="rId4" Type="http://schemas.openxmlformats.org/officeDocument/2006/relationships/printerSettings" Target="../printerSettings/printerSettings18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5.xml"/><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6.xml"/><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drawing" Target="../drawings/drawing7.xml"/><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drawing" Target="../drawings/drawing9.xml"/><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7" Type="http://schemas.openxmlformats.org/officeDocument/2006/relationships/comments" Target="../comments1.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vmlDrawing" Target="../drawings/vmlDrawing1.vml"/><Relationship Id="rId5" Type="http://schemas.openxmlformats.org/officeDocument/2006/relationships/drawing" Target="../drawings/drawing10.xml"/><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
  <sheetViews>
    <sheetView zoomScaleNormal="100" zoomScalePageLayoutView="46" workbookViewId="0">
      <selection activeCell="C23" sqref="C23"/>
    </sheetView>
  </sheetViews>
  <sheetFormatPr baseColWidth="10" defaultRowHeight="15"/>
  <cols>
    <col min="1" max="1" width="5.7109375" style="160" customWidth="1"/>
    <col min="3" max="3" width="13" customWidth="1"/>
  </cols>
  <sheetData>
    <row r="1" spans="2:8" ht="39.75" customHeight="1">
      <c r="B1" s="791" t="s">
        <v>613</v>
      </c>
      <c r="C1" s="791"/>
      <c r="D1" s="791"/>
      <c r="E1" s="791"/>
      <c r="F1" s="791"/>
      <c r="G1" s="791"/>
      <c r="H1" s="791"/>
    </row>
    <row r="2" spans="2:8">
      <c r="B2" s="10"/>
      <c r="C2" s="10"/>
      <c r="D2" s="10"/>
      <c r="E2" s="10"/>
      <c r="F2" s="10"/>
      <c r="G2" s="10"/>
      <c r="H2" s="10"/>
    </row>
    <row r="3" spans="2:8">
      <c r="B3" s="5" t="s">
        <v>738</v>
      </c>
      <c r="C3" s="10"/>
      <c r="D3" s="10"/>
      <c r="E3" s="10"/>
      <c r="F3" s="10"/>
      <c r="G3" s="10"/>
      <c r="H3" s="10"/>
    </row>
    <row r="4" spans="2:8">
      <c r="B4" s="10"/>
      <c r="C4" s="10"/>
      <c r="D4" s="10"/>
      <c r="E4" s="10"/>
      <c r="F4" s="10"/>
      <c r="G4" s="10"/>
      <c r="H4" s="10"/>
    </row>
    <row r="5" spans="2:8" s="160" customFormat="1">
      <c r="B5" s="10"/>
      <c r="C5" s="10"/>
      <c r="D5" s="10"/>
      <c r="E5" s="10"/>
      <c r="F5" s="10"/>
      <c r="G5" s="10"/>
      <c r="H5" s="10"/>
    </row>
    <row r="6" spans="2:8">
      <c r="B6" s="5" t="s">
        <v>461</v>
      </c>
      <c r="C6" s="10"/>
      <c r="D6" s="10"/>
      <c r="E6" s="10"/>
      <c r="F6" s="10"/>
      <c r="G6" s="10"/>
      <c r="H6" s="10"/>
    </row>
    <row r="7" spans="2:8" s="160" customFormat="1">
      <c r="B7" s="10"/>
      <c r="C7" s="17" t="s">
        <v>445</v>
      </c>
      <c r="D7" s="17"/>
      <c r="E7" s="17"/>
      <c r="F7" s="17"/>
      <c r="G7" s="10"/>
      <c r="H7" s="10"/>
    </row>
    <row r="8" spans="2:8" s="160" customFormat="1">
      <c r="B8" s="10"/>
      <c r="C8" s="17" t="s">
        <v>453</v>
      </c>
      <c r="D8" s="17"/>
      <c r="E8" s="17"/>
      <c r="F8" s="17"/>
      <c r="G8" s="10"/>
      <c r="H8" s="10"/>
    </row>
    <row r="9" spans="2:8" s="160" customFormat="1">
      <c r="B9" s="10"/>
      <c r="C9" s="17" t="s">
        <v>422</v>
      </c>
      <c r="D9" s="17"/>
      <c r="E9" s="17"/>
      <c r="F9" s="17"/>
      <c r="G9" s="10"/>
      <c r="H9" s="10"/>
    </row>
    <row r="10" spans="2:8" s="160" customFormat="1">
      <c r="B10" s="10"/>
      <c r="C10" s="17" t="s">
        <v>444</v>
      </c>
      <c r="D10" s="17"/>
      <c r="E10" s="17"/>
      <c r="F10" s="17"/>
      <c r="G10" s="10"/>
      <c r="H10" s="10"/>
    </row>
    <row r="11" spans="2:8" s="160" customFormat="1">
      <c r="B11" s="10"/>
      <c r="C11" s="650"/>
      <c r="D11" s="17"/>
      <c r="E11" s="17"/>
      <c r="F11" s="17"/>
      <c r="G11" s="10"/>
      <c r="H11" s="10"/>
    </row>
    <row r="12" spans="2:8" s="160" customFormat="1">
      <c r="B12" s="10"/>
      <c r="C12" s="17" t="s">
        <v>446</v>
      </c>
      <c r="D12" s="17" t="s">
        <v>447</v>
      </c>
      <c r="E12" s="17"/>
      <c r="F12" s="17"/>
      <c r="G12" s="10"/>
      <c r="H12" s="10"/>
    </row>
    <row r="13" spans="2:8" s="160" customFormat="1">
      <c r="B13" s="10"/>
      <c r="C13" s="650"/>
      <c r="D13" s="17" t="s">
        <v>0</v>
      </c>
      <c r="E13" s="17"/>
      <c r="F13" s="17"/>
      <c r="G13" s="10"/>
      <c r="H13" s="10"/>
    </row>
    <row r="14" spans="2:8" s="160" customFormat="1">
      <c r="B14" s="10"/>
      <c r="C14" s="650"/>
      <c r="D14" s="17"/>
      <c r="E14" s="17"/>
      <c r="F14" s="17"/>
      <c r="G14" s="10"/>
      <c r="H14" s="10"/>
    </row>
    <row r="15" spans="2:8" s="160" customFormat="1">
      <c r="B15" s="10"/>
      <c r="C15" s="17" t="s">
        <v>448</v>
      </c>
      <c r="D15" s="17" t="s">
        <v>447</v>
      </c>
      <c r="E15" s="17"/>
      <c r="F15" s="17"/>
      <c r="G15" s="10"/>
      <c r="H15" s="10"/>
    </row>
    <row r="16" spans="2:8" s="160" customFormat="1">
      <c r="B16" s="10"/>
      <c r="C16" s="650"/>
      <c r="D16" s="17" t="s">
        <v>0</v>
      </c>
      <c r="E16" s="17"/>
      <c r="F16" s="17"/>
      <c r="G16" s="10"/>
      <c r="H16" s="10"/>
    </row>
    <row r="17" spans="2:9" s="160" customFormat="1">
      <c r="B17" s="10"/>
      <c r="C17" s="17" t="s">
        <v>0</v>
      </c>
      <c r="D17" s="17"/>
      <c r="E17" s="17"/>
      <c r="F17" s="17"/>
      <c r="G17" s="10"/>
      <c r="H17" s="10"/>
    </row>
    <row r="18" spans="2:9" s="160" customFormat="1">
      <c r="B18" s="10"/>
      <c r="C18" s="651" t="s">
        <v>0</v>
      </c>
      <c r="D18" s="17"/>
      <c r="E18" s="17"/>
      <c r="F18" s="17"/>
      <c r="G18" s="10"/>
      <c r="H18" s="10"/>
    </row>
    <row r="19" spans="2:9" s="160" customFormat="1">
      <c r="B19" s="10"/>
      <c r="C19" s="651" t="s">
        <v>0</v>
      </c>
      <c r="D19" s="17"/>
      <c r="E19" s="17"/>
      <c r="F19" s="17"/>
      <c r="G19" s="10"/>
      <c r="H19" s="10"/>
    </row>
    <row r="20" spans="2:9" s="160" customFormat="1">
      <c r="C20" s="375" t="s">
        <v>0</v>
      </c>
      <c r="D20" s="374"/>
      <c r="E20" s="369"/>
      <c r="F20" s="369"/>
    </row>
    <row r="21" spans="2:9" s="160" customFormat="1">
      <c r="C21" s="375"/>
      <c r="D21" s="374"/>
      <c r="E21" s="369"/>
      <c r="F21" s="369"/>
    </row>
    <row r="22" spans="2:9">
      <c r="C22" s="160"/>
    </row>
    <row r="23" spans="2:9" ht="93" customHeight="1"/>
    <row r="26" spans="2:9" s="160" customFormat="1"/>
    <row r="27" spans="2:9" s="160" customFormat="1"/>
    <row r="29" spans="2:9">
      <c r="B29" s="790" t="s">
        <v>737</v>
      </c>
      <c r="C29" s="790"/>
      <c r="D29" s="372"/>
      <c r="E29" s="371"/>
      <c r="F29" s="371"/>
      <c r="G29" s="371"/>
      <c r="H29" s="371"/>
      <c r="I29" s="370"/>
    </row>
    <row r="30" spans="2:9">
      <c r="B30" s="369"/>
      <c r="C30" s="369"/>
      <c r="D30" s="17"/>
    </row>
    <row r="31" spans="2:9">
      <c r="B31" s="652" t="s">
        <v>449</v>
      </c>
      <c r="C31" s="652"/>
      <c r="D31" s="652"/>
      <c r="E31" s="652"/>
      <c r="F31" s="652"/>
      <c r="G31" s="652"/>
    </row>
    <row r="32" spans="2:9">
      <c r="B32" s="653" t="s">
        <v>450</v>
      </c>
      <c r="C32" s="653"/>
      <c r="D32" s="652"/>
      <c r="E32" s="652"/>
      <c r="F32" s="652"/>
      <c r="G32" s="652"/>
    </row>
    <row r="33" spans="2:7">
      <c r="B33" s="652"/>
      <c r="C33" s="652" t="s">
        <v>0</v>
      </c>
      <c r="D33" s="652"/>
      <c r="E33" s="652"/>
      <c r="F33" s="652"/>
      <c r="G33" s="652"/>
    </row>
    <row r="34" spans="2:7">
      <c r="B34" s="652" t="s">
        <v>452</v>
      </c>
      <c r="C34" s="652"/>
      <c r="D34" s="652"/>
      <c r="E34" s="652"/>
      <c r="F34" s="652"/>
      <c r="G34" s="652"/>
    </row>
    <row r="35" spans="2:7">
      <c r="B35" s="652" t="s">
        <v>1</v>
      </c>
      <c r="C35" s="652"/>
      <c r="D35" s="652"/>
      <c r="E35" s="652"/>
      <c r="F35" s="652"/>
      <c r="G35" s="652"/>
    </row>
    <row r="36" spans="2:7">
      <c r="B36" s="376"/>
      <c r="C36" s="376"/>
      <c r="D36" s="376"/>
    </row>
    <row r="37" spans="2:7">
      <c r="B37" s="376"/>
      <c r="C37" s="376"/>
      <c r="D37" s="376"/>
    </row>
  </sheetData>
  <customSheetViews>
    <customSheetView guid="{00BB8FC3-0B7F-4485-B1CD-FF164EC3970C}" scale="98" fitToPage="1">
      <selection activeCell="H9" sqref="H9"/>
      <pageMargins left="0.70866141732283472" right="0.70866141732283472" top="0.78740157480314965" bottom="0.78740157480314965" header="0.31496062992125984" footer="0.31496062992125984"/>
      <pageSetup paperSize="9" orientation="portrait" cellComments="asDisplayed" r:id="rId1"/>
      <headerFooter>
        <oddFooter>&amp;R&amp;F&amp;D</oddFooter>
      </headerFooter>
    </customSheetView>
    <customSheetView guid="{5DDDE19F-F10F-4514-A83C-F71CDD7BE512}" scale="98" fitToPage="1">
      <selection activeCell="H9" sqref="H9"/>
      <pageMargins left="0.70866141732283472" right="0.70866141732283472" top="0.78740157480314965" bottom="0.78740157480314965" header="0.31496062992125984" footer="0.31496062992125984"/>
      <pageSetup paperSize="9" orientation="portrait" cellComments="asDisplayed" r:id="rId2"/>
      <headerFooter>
        <oddFooter>&amp;R&amp;F&amp;D</oddFooter>
      </headerFooter>
    </customSheetView>
    <customSheetView guid="{9A6D0F5E-68D7-4772-8712-9975EE0A4B2C}" scale="98" fitToPage="1">
      <selection activeCell="H9" sqref="H9"/>
      <pageMargins left="0.70866141732283472" right="0.70866141732283472" top="0.78740157480314965" bottom="0.78740157480314965" header="0.31496062992125984" footer="0.31496062992125984"/>
      <pageSetup paperSize="9" orientation="portrait" cellComments="asDisplayed" r:id="rId3"/>
      <headerFooter>
        <oddFooter>&amp;R&amp;F&amp;D</oddFooter>
      </headerFooter>
    </customSheetView>
  </customSheetViews>
  <mergeCells count="2">
    <mergeCell ref="B29:C29"/>
    <mergeCell ref="B1:H1"/>
  </mergeCells>
  <hyperlinks>
    <hyperlink ref="C10" r:id="rId4" xr:uid="{00000000-0004-0000-0000-000000000000}"/>
  </hyperlinks>
  <pageMargins left="0.70866141732283472" right="0.70866141732283472" top="0.78740157480314965" bottom="0.78740157480314965" header="0.31496062992125984" footer="0.31496062992125984"/>
  <pageSetup paperSize="9" scale="83" orientation="portrait" cellComments="asDisplayed" r:id="rId5"/>
  <headerFooter>
    <oddFooter>&amp;R&amp;F&amp;D</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43"/>
  <sheetViews>
    <sheetView topLeftCell="A13" workbookViewId="0">
      <selection activeCell="I29" sqref="I29"/>
    </sheetView>
  </sheetViews>
  <sheetFormatPr baseColWidth="10" defaultRowHeight="15"/>
  <cols>
    <col min="1" max="1" width="24.28515625" customWidth="1"/>
    <col min="2" max="2" width="25.5703125" customWidth="1"/>
    <col min="8" max="8" width="13.5703125" customWidth="1"/>
    <col min="9" max="9" width="19.140625" customWidth="1"/>
    <col min="10" max="10" width="15.7109375" customWidth="1"/>
  </cols>
  <sheetData>
    <row r="1" spans="1:18" s="130" customFormat="1" ht="39.950000000000003" customHeight="1">
      <c r="A1" s="796" t="s">
        <v>95</v>
      </c>
      <c r="B1" s="796"/>
      <c r="C1" s="799"/>
      <c r="D1" s="799"/>
      <c r="E1" s="799"/>
      <c r="F1" s="799"/>
    </row>
    <row r="2" spans="1:18">
      <c r="A2" s="456" t="s">
        <v>0</v>
      </c>
      <c r="B2" s="460" t="s">
        <v>681</v>
      </c>
      <c r="C2" s="460"/>
      <c r="D2" s="460"/>
      <c r="E2" s="308"/>
      <c r="F2" s="308"/>
      <c r="G2" s="308"/>
      <c r="H2" s="308"/>
      <c r="I2" s="308"/>
      <c r="J2" s="130"/>
    </row>
    <row r="3" spans="1:18" ht="75">
      <c r="I3" s="775"/>
      <c r="J3" s="784" t="s">
        <v>515</v>
      </c>
      <c r="K3" s="784" t="s">
        <v>543</v>
      </c>
      <c r="L3" s="784" t="s">
        <v>516</v>
      </c>
      <c r="M3" s="775"/>
      <c r="N3" s="775"/>
      <c r="O3" s="775"/>
      <c r="P3" s="775"/>
      <c r="Q3" s="638"/>
      <c r="R3" s="638"/>
    </row>
    <row r="4" spans="1:18">
      <c r="I4" s="775"/>
      <c r="J4" s="775"/>
      <c r="K4" s="775"/>
      <c r="L4" s="775"/>
      <c r="M4" s="775"/>
      <c r="N4" s="775"/>
      <c r="O4" s="775"/>
      <c r="P4" s="775"/>
      <c r="Q4" s="638"/>
      <c r="R4" s="638"/>
    </row>
    <row r="5" spans="1:18">
      <c r="I5" s="775" t="s">
        <v>191</v>
      </c>
      <c r="J5" s="778">
        <v>1043</v>
      </c>
      <c r="K5" s="778">
        <v>296704</v>
      </c>
      <c r="L5" s="778">
        <f t="shared" ref="L5:L13" si="0">$J5/$K5*1000000</f>
        <v>3515.2879637618635</v>
      </c>
      <c r="M5" s="775"/>
      <c r="N5" s="775" t="s">
        <v>25</v>
      </c>
      <c r="O5" s="775"/>
      <c r="P5" s="778">
        <v>4405</v>
      </c>
      <c r="Q5" s="638"/>
      <c r="R5" s="638"/>
    </row>
    <row r="6" spans="1:18">
      <c r="I6" s="775" t="s">
        <v>186</v>
      </c>
      <c r="J6" s="778">
        <v>1936</v>
      </c>
      <c r="K6" s="778">
        <v>563176</v>
      </c>
      <c r="L6" s="778">
        <f t="shared" si="0"/>
        <v>3437.6464906174979</v>
      </c>
      <c r="M6" s="775"/>
      <c r="N6" s="775" t="s">
        <v>517</v>
      </c>
      <c r="O6" s="775"/>
      <c r="P6" s="778">
        <v>4060</v>
      </c>
      <c r="Q6" s="638"/>
      <c r="R6" s="638"/>
    </row>
    <row r="7" spans="1:18">
      <c r="I7" s="775" t="s">
        <v>517</v>
      </c>
      <c r="J7" s="778">
        <v>6882</v>
      </c>
      <c r="K7" s="778">
        <v>1695013</v>
      </c>
      <c r="L7" s="778">
        <f t="shared" si="0"/>
        <v>4060.1458513887505</v>
      </c>
      <c r="M7" s="775"/>
      <c r="N7" s="775" t="s">
        <v>184</v>
      </c>
      <c r="O7" s="775"/>
      <c r="P7" s="778">
        <v>4039</v>
      </c>
      <c r="Q7" s="638"/>
      <c r="R7" s="638"/>
    </row>
    <row r="8" spans="1:18">
      <c r="I8" s="775" t="s">
        <v>351</v>
      </c>
      <c r="J8" s="778">
        <v>5558</v>
      </c>
      <c r="K8" s="778">
        <v>1486141</v>
      </c>
      <c r="L8" s="778">
        <f t="shared" si="0"/>
        <v>3739.8873996478128</v>
      </c>
      <c r="M8" s="775"/>
      <c r="N8" s="775" t="s">
        <v>187</v>
      </c>
      <c r="O8" s="775"/>
      <c r="P8" s="778">
        <v>3917</v>
      </c>
      <c r="Q8" s="638"/>
      <c r="R8" s="638"/>
    </row>
    <row r="9" spans="1:18">
      <c r="I9" s="775" t="s">
        <v>187</v>
      </c>
      <c r="J9" s="778">
        <v>2199</v>
      </c>
      <c r="K9" s="778">
        <v>561416</v>
      </c>
      <c r="L9" s="778">
        <f t="shared" si="0"/>
        <v>3916.8815993844132</v>
      </c>
      <c r="M9" s="775"/>
      <c r="N9" s="775" t="s">
        <v>351</v>
      </c>
      <c r="O9" s="775"/>
      <c r="P9" s="778">
        <v>3740</v>
      </c>
      <c r="Q9" s="638"/>
      <c r="R9" s="638"/>
    </row>
    <row r="10" spans="1:18">
      <c r="I10" s="775" t="s">
        <v>190</v>
      </c>
      <c r="J10" s="778">
        <v>4270</v>
      </c>
      <c r="K10" s="778">
        <v>1249278</v>
      </c>
      <c r="L10" s="778">
        <f t="shared" si="0"/>
        <v>3417.9742219105756</v>
      </c>
      <c r="M10" s="775"/>
      <c r="N10" s="775" t="s">
        <v>185</v>
      </c>
      <c r="O10" s="775"/>
      <c r="P10" s="778">
        <v>3666</v>
      </c>
      <c r="Q10" s="638"/>
      <c r="R10" s="638"/>
    </row>
    <row r="11" spans="1:18">
      <c r="I11" s="775" t="s">
        <v>185</v>
      </c>
      <c r="J11" s="778">
        <v>2792</v>
      </c>
      <c r="K11" s="778">
        <v>761596</v>
      </c>
      <c r="L11" s="778">
        <f t="shared" si="0"/>
        <v>3665.9856406808858</v>
      </c>
      <c r="M11" s="775"/>
      <c r="N11" s="775" t="s">
        <v>191</v>
      </c>
      <c r="O11" s="775"/>
      <c r="P11" s="778">
        <v>3515</v>
      </c>
      <c r="Q11" s="638"/>
      <c r="R11" s="638"/>
    </row>
    <row r="12" spans="1:18">
      <c r="I12" s="775" t="s">
        <v>25</v>
      </c>
      <c r="J12" s="778">
        <v>1764</v>
      </c>
      <c r="K12" s="778">
        <v>400496</v>
      </c>
      <c r="L12" s="778">
        <f t="shared" si="0"/>
        <v>4404.538372418202</v>
      </c>
      <c r="M12" s="775"/>
      <c r="N12" s="775" t="s">
        <v>186</v>
      </c>
      <c r="O12" s="775"/>
      <c r="P12" s="778">
        <v>3438</v>
      </c>
      <c r="Q12" s="638"/>
      <c r="R12" s="638"/>
    </row>
    <row r="13" spans="1:18">
      <c r="I13" s="775" t="s">
        <v>184</v>
      </c>
      <c r="J13" s="778">
        <v>7770</v>
      </c>
      <c r="K13" s="778">
        <v>1923825</v>
      </c>
      <c r="L13" s="778">
        <f t="shared" si="0"/>
        <v>4038.8288955596277</v>
      </c>
      <c r="M13" s="775"/>
      <c r="N13" s="775" t="s">
        <v>190</v>
      </c>
      <c r="O13" s="775"/>
      <c r="P13" s="778">
        <v>3418</v>
      </c>
      <c r="Q13" s="638"/>
      <c r="R13" s="638"/>
    </row>
    <row r="14" spans="1:18">
      <c r="I14" s="775"/>
      <c r="J14" s="775"/>
      <c r="K14" s="775"/>
      <c r="L14" s="775"/>
      <c r="M14" s="775"/>
      <c r="N14" s="775"/>
      <c r="O14" s="775"/>
      <c r="P14" s="775"/>
      <c r="Q14" s="638"/>
      <c r="R14" s="638"/>
    </row>
    <row r="15" spans="1:18">
      <c r="I15" s="638"/>
      <c r="J15" s="638"/>
      <c r="K15" s="638"/>
      <c r="L15" s="638"/>
      <c r="M15" s="638"/>
      <c r="N15" s="638"/>
      <c r="O15" s="638"/>
      <c r="P15" s="638" t="s">
        <v>519</v>
      </c>
      <c r="Q15" s="638"/>
      <c r="R15" s="638"/>
    </row>
    <row r="16" spans="1:18">
      <c r="A16" s="75" t="s">
        <v>518</v>
      </c>
      <c r="B16" s="75"/>
      <c r="C16" s="75"/>
      <c r="D16" s="64"/>
      <c r="E16" s="64"/>
      <c r="F16" s="64"/>
      <c r="G16" s="10"/>
      <c r="H16" s="10"/>
      <c r="I16" s="10"/>
      <c r="J16" s="10"/>
      <c r="K16" s="10"/>
      <c r="L16" s="10"/>
      <c r="M16" s="10"/>
      <c r="N16" s="10"/>
      <c r="O16" s="10"/>
    </row>
    <row r="17" spans="1:15">
      <c r="H17" s="10"/>
      <c r="I17" s="10"/>
      <c r="J17" s="10"/>
      <c r="K17" s="10"/>
      <c r="L17" s="10"/>
      <c r="M17" s="10"/>
      <c r="N17" s="10"/>
      <c r="O17" s="10"/>
    </row>
    <row r="18" spans="1:15">
      <c r="H18" s="10"/>
      <c r="I18" s="10"/>
      <c r="J18" s="10"/>
      <c r="K18" s="10"/>
      <c r="L18" s="10"/>
      <c r="M18" s="10"/>
      <c r="N18" s="10"/>
      <c r="O18" s="10"/>
    </row>
    <row r="19" spans="1:15">
      <c r="H19" s="10"/>
      <c r="I19" s="10"/>
      <c r="J19" s="10"/>
      <c r="K19" s="10"/>
      <c r="L19" s="10"/>
      <c r="M19" s="10"/>
      <c r="N19" s="10"/>
      <c r="O19" s="10"/>
    </row>
    <row r="20" spans="1:15">
      <c r="A20" s="103"/>
      <c r="B20" s="240"/>
      <c r="C20" s="240"/>
      <c r="D20" s="240"/>
      <c r="E20" s="240"/>
      <c r="F20" s="64"/>
      <c r="G20" s="10"/>
      <c r="H20" s="10"/>
      <c r="I20" s="10"/>
      <c r="J20" s="10"/>
      <c r="K20" s="10"/>
      <c r="L20" s="10"/>
      <c r="M20" s="10"/>
      <c r="N20" s="10"/>
      <c r="O20" s="10"/>
    </row>
    <row r="21" spans="1:15">
      <c r="A21" s="240"/>
      <c r="B21" s="357">
        <v>2013</v>
      </c>
      <c r="C21" s="439"/>
      <c r="D21" s="357">
        <v>2022</v>
      </c>
      <c r="E21" s="301"/>
      <c r="F21" s="785">
        <v>2023</v>
      </c>
      <c r="G21" s="10"/>
      <c r="H21" s="10"/>
      <c r="I21" s="10"/>
      <c r="J21" s="10"/>
      <c r="K21" s="10"/>
      <c r="L21" s="10"/>
      <c r="M21" s="10"/>
      <c r="N21" s="10"/>
      <c r="O21" s="10"/>
    </row>
    <row r="22" spans="1:15">
      <c r="A22" s="14" t="s">
        <v>96</v>
      </c>
      <c r="B22" s="516"/>
      <c r="C22" s="516"/>
      <c r="D22" s="516"/>
      <c r="E22" s="37"/>
      <c r="F22" s="786"/>
      <c r="G22" s="10"/>
      <c r="H22" s="10"/>
      <c r="I22" s="10"/>
      <c r="J22" s="10"/>
      <c r="K22" s="10"/>
      <c r="L22" s="10"/>
      <c r="M22" s="10"/>
      <c r="N22" s="10"/>
      <c r="O22" s="10"/>
    </row>
    <row r="23" spans="1:15">
      <c r="A23" s="309" t="s">
        <v>97</v>
      </c>
      <c r="B23" s="179">
        <v>227</v>
      </c>
      <c r="C23" s="179"/>
      <c r="D23" s="179">
        <v>283</v>
      </c>
      <c r="E23" s="310" t="s">
        <v>0</v>
      </c>
      <c r="F23" s="568">
        <v>289</v>
      </c>
      <c r="G23" s="10"/>
      <c r="H23" s="10"/>
      <c r="I23" s="10"/>
      <c r="J23" s="10"/>
      <c r="K23" s="10"/>
      <c r="L23" s="10"/>
      <c r="M23" s="10"/>
      <c r="N23" s="10"/>
      <c r="O23" s="10"/>
    </row>
    <row r="24" spans="1:15">
      <c r="A24" s="240"/>
      <c r="B24" s="164"/>
      <c r="C24" s="164"/>
      <c r="D24" s="164"/>
      <c r="E24" s="149"/>
      <c r="F24" s="490"/>
      <c r="G24" s="10"/>
      <c r="H24" s="10"/>
      <c r="I24" s="10"/>
      <c r="J24" s="10"/>
      <c r="K24" s="10"/>
      <c r="L24" s="10"/>
      <c r="M24" s="10"/>
      <c r="N24" s="10"/>
      <c r="O24" s="10"/>
    </row>
    <row r="25" spans="1:15">
      <c r="A25" s="240"/>
      <c r="B25" s="164"/>
      <c r="C25" s="164"/>
      <c r="D25" s="164"/>
      <c r="E25" s="149"/>
      <c r="F25" s="490"/>
      <c r="G25" s="10"/>
      <c r="H25" s="10"/>
      <c r="I25" s="10"/>
      <c r="J25" s="10"/>
      <c r="K25" s="10"/>
      <c r="L25" s="10"/>
      <c r="M25" s="10"/>
      <c r="N25" s="10"/>
      <c r="O25" s="10"/>
    </row>
    <row r="26" spans="1:15">
      <c r="A26" s="240"/>
      <c r="B26" s="164"/>
      <c r="C26" s="164"/>
      <c r="D26" s="164"/>
      <c r="E26" s="149"/>
      <c r="F26" s="490"/>
      <c r="G26" s="10"/>
      <c r="H26" s="10"/>
      <c r="I26" s="10"/>
      <c r="J26" s="10"/>
      <c r="K26" s="10"/>
      <c r="L26" s="10"/>
      <c r="M26" s="10"/>
      <c r="N26" s="10"/>
      <c r="O26" s="10"/>
    </row>
    <row r="27" spans="1:15">
      <c r="A27" s="14" t="s">
        <v>560</v>
      </c>
      <c r="B27" s="172"/>
      <c r="C27" s="172"/>
      <c r="D27" s="172"/>
      <c r="E27" s="5"/>
      <c r="F27" s="460"/>
      <c r="G27" s="10"/>
      <c r="H27" s="10"/>
      <c r="I27" s="10"/>
      <c r="J27" s="10"/>
      <c r="K27" s="10"/>
      <c r="L27" s="10"/>
      <c r="M27" s="10"/>
      <c r="N27" s="10"/>
      <c r="O27" s="10"/>
    </row>
    <row r="28" spans="1:15">
      <c r="A28" s="647" t="s">
        <v>98</v>
      </c>
      <c r="B28" s="179">
        <v>1681</v>
      </c>
      <c r="C28" s="179"/>
      <c r="D28" s="179">
        <v>2343</v>
      </c>
      <c r="E28" s="310"/>
      <c r="F28" s="569">
        <v>2488</v>
      </c>
      <c r="G28" s="10"/>
      <c r="H28" s="10"/>
      <c r="I28" s="10"/>
      <c r="J28" s="10"/>
      <c r="K28" s="10"/>
      <c r="L28" s="10"/>
      <c r="M28" s="10"/>
      <c r="N28" s="10"/>
      <c r="O28" s="10"/>
    </row>
    <row r="29" spans="1:15">
      <c r="A29" s="240"/>
      <c r="B29" s="164"/>
      <c r="C29" s="164"/>
      <c r="D29" s="164"/>
      <c r="E29" s="149"/>
      <c r="F29" s="490"/>
      <c r="G29" s="10"/>
      <c r="K29" s="75"/>
      <c r="L29" s="10"/>
      <c r="M29" s="10"/>
      <c r="N29" s="10"/>
      <c r="O29" s="10"/>
    </row>
    <row r="30" spans="1:15">
      <c r="A30" s="240"/>
      <c r="B30" s="164"/>
      <c r="C30" s="164"/>
      <c r="D30" s="164"/>
      <c r="E30" s="149"/>
      <c r="F30" s="490"/>
      <c r="G30" s="10"/>
      <c r="H30" s="10"/>
      <c r="I30" s="10"/>
      <c r="J30" s="10"/>
      <c r="K30" s="10"/>
      <c r="L30" s="10"/>
      <c r="M30" s="10"/>
      <c r="N30" s="10"/>
      <c r="O30" s="10"/>
    </row>
    <row r="31" spans="1:15">
      <c r="A31" s="240"/>
      <c r="B31" s="143"/>
      <c r="C31" s="143"/>
      <c r="D31" s="143"/>
      <c r="E31" s="10"/>
      <c r="F31" s="460"/>
      <c r="G31" s="10"/>
      <c r="H31" s="10"/>
      <c r="I31" s="10"/>
      <c r="J31" s="10"/>
      <c r="K31" s="10"/>
      <c r="L31" s="10"/>
      <c r="M31" s="10"/>
      <c r="N31" s="10"/>
      <c r="O31" s="10"/>
    </row>
    <row r="32" spans="1:15" ht="17.25">
      <c r="A32" s="14" t="s">
        <v>439</v>
      </c>
      <c r="B32" s="143"/>
      <c r="C32" s="143"/>
      <c r="D32" s="143"/>
      <c r="E32" s="10"/>
      <c r="F32" s="460"/>
      <c r="G32" s="10"/>
      <c r="K32" s="10"/>
      <c r="L32" s="10"/>
      <c r="M32" s="10"/>
      <c r="N32" s="10"/>
      <c r="O32" s="10"/>
    </row>
    <row r="33" spans="1:15">
      <c r="A33" s="309" t="s">
        <v>99</v>
      </c>
      <c r="B33" s="179">
        <v>1542</v>
      </c>
      <c r="C33" s="179"/>
      <c r="D33" s="179">
        <v>2328</v>
      </c>
      <c r="E33" s="310"/>
      <c r="F33" s="569">
        <v>2349</v>
      </c>
      <c r="G33" s="10"/>
      <c r="H33" s="10"/>
      <c r="I33" s="10"/>
      <c r="J33" s="10"/>
      <c r="K33" s="10"/>
      <c r="L33" s="10"/>
      <c r="M33" s="10"/>
      <c r="N33" s="10"/>
      <c r="O33" s="10"/>
    </row>
    <row r="34" spans="1:15">
      <c r="A34" s="309" t="s">
        <v>295</v>
      </c>
      <c r="B34" s="179"/>
      <c r="C34" s="179"/>
      <c r="D34" s="179"/>
      <c r="E34" s="310"/>
      <c r="F34" s="569"/>
      <c r="G34" s="10"/>
      <c r="H34" s="10"/>
      <c r="I34" s="10"/>
      <c r="J34" s="10"/>
      <c r="K34" s="10"/>
      <c r="L34" s="10"/>
      <c r="M34" s="10"/>
      <c r="N34" s="10"/>
      <c r="O34" s="10"/>
    </row>
    <row r="35" spans="1:15">
      <c r="A35" s="309" t="s">
        <v>100</v>
      </c>
      <c r="B35" s="179">
        <v>65</v>
      </c>
      <c r="C35" s="179"/>
      <c r="D35" s="179">
        <v>74</v>
      </c>
      <c r="E35" s="310"/>
      <c r="F35" s="569">
        <v>94</v>
      </c>
      <c r="G35" s="10"/>
      <c r="H35" s="10"/>
      <c r="I35" s="10"/>
      <c r="J35" s="10"/>
      <c r="K35" s="10"/>
      <c r="L35" s="10"/>
      <c r="M35" s="10"/>
      <c r="N35" s="10"/>
      <c r="O35" s="10"/>
    </row>
    <row r="36" spans="1:15">
      <c r="A36" s="309" t="s">
        <v>296</v>
      </c>
      <c r="B36" s="179">
        <v>32</v>
      </c>
      <c r="C36" s="179"/>
      <c r="D36" s="179">
        <v>35</v>
      </c>
      <c r="E36" s="310"/>
      <c r="F36" s="569">
        <v>37</v>
      </c>
      <c r="G36" s="10"/>
      <c r="H36" s="10"/>
      <c r="I36" s="10"/>
      <c r="J36" s="10"/>
      <c r="K36" s="10"/>
      <c r="L36" s="10"/>
      <c r="M36" s="10"/>
      <c r="N36" s="10"/>
      <c r="O36" s="10"/>
    </row>
    <row r="37" spans="1:15">
      <c r="A37" s="311" t="s">
        <v>332</v>
      </c>
      <c r="B37" s="179">
        <v>8</v>
      </c>
      <c r="C37" s="179"/>
      <c r="D37" s="179">
        <v>9</v>
      </c>
      <c r="E37" s="310"/>
      <c r="F37" s="569">
        <v>9</v>
      </c>
      <c r="G37" s="10"/>
      <c r="H37" s="10"/>
      <c r="I37" s="10"/>
      <c r="J37" s="10"/>
      <c r="K37" s="10"/>
      <c r="L37" s="10"/>
      <c r="M37" s="10"/>
      <c r="N37" s="10"/>
      <c r="O37" s="10"/>
    </row>
    <row r="38" spans="1:15">
      <c r="A38" s="309" t="s">
        <v>333</v>
      </c>
      <c r="B38" s="179">
        <v>20</v>
      </c>
      <c r="C38" s="179"/>
      <c r="D38" s="179">
        <v>23</v>
      </c>
      <c r="E38" s="310"/>
      <c r="F38" s="569">
        <v>25</v>
      </c>
      <c r="G38" s="10"/>
      <c r="H38" s="10"/>
      <c r="I38" s="10"/>
      <c r="J38" s="10"/>
      <c r="K38" s="10"/>
      <c r="L38" s="10"/>
      <c r="M38" s="10"/>
      <c r="N38" s="10"/>
      <c r="O38" s="10"/>
    </row>
    <row r="39" spans="1:15">
      <c r="A39" s="240"/>
      <c r="B39" s="10"/>
      <c r="C39" s="10"/>
      <c r="D39" s="10"/>
      <c r="E39" s="10"/>
      <c r="F39" s="10"/>
      <c r="G39" s="10"/>
      <c r="H39" s="10"/>
      <c r="I39" s="10"/>
      <c r="J39" s="10"/>
      <c r="K39" s="10"/>
      <c r="L39" s="10"/>
      <c r="M39" s="10"/>
      <c r="N39" s="10"/>
      <c r="O39" s="10"/>
    </row>
    <row r="40" spans="1:15">
      <c r="A40" s="497" t="s">
        <v>0</v>
      </c>
      <c r="B40" s="312"/>
      <c r="C40" s="146"/>
      <c r="D40" s="146"/>
      <c r="E40" s="146"/>
      <c r="F40" s="10"/>
      <c r="G40" s="10"/>
      <c r="H40" s="10"/>
      <c r="I40" s="10"/>
      <c r="J40" s="10"/>
      <c r="K40" s="10"/>
      <c r="L40" s="10"/>
      <c r="M40" s="10"/>
      <c r="N40" s="10"/>
      <c r="O40" s="10"/>
    </row>
    <row r="41" spans="1:15">
      <c r="A41" s="75" t="s">
        <v>608</v>
      </c>
      <c r="B41" s="75"/>
      <c r="C41" s="10"/>
      <c r="D41" s="10"/>
      <c r="E41" s="10"/>
      <c r="F41" s="10"/>
      <c r="G41" s="10"/>
    </row>
    <row r="42" spans="1:15">
      <c r="A42" s="305" t="s">
        <v>561</v>
      </c>
      <c r="B42" s="75"/>
      <c r="C42" s="10"/>
      <c r="D42" s="10"/>
      <c r="E42" s="10"/>
      <c r="F42" s="10"/>
      <c r="G42" s="10"/>
    </row>
    <row r="43" spans="1:15">
      <c r="A43" s="10"/>
      <c r="B43" s="10"/>
      <c r="C43" s="10"/>
      <c r="D43" s="10"/>
      <c r="E43" s="10"/>
      <c r="F43" s="10"/>
      <c r="G43" s="10"/>
    </row>
  </sheetData>
  <customSheetViews>
    <customSheetView guid="{00BB8FC3-0B7F-4485-B1CD-FF164EC3970C}" fitToPage="1" topLeftCell="A7">
      <selection activeCell="N34" sqref="N34"/>
      <pageMargins left="0.7" right="0.7" top="0.78740157499999996" bottom="0.78740157499999996" header="0.3" footer="0.3"/>
      <pageSetup paperSize="9" scale="62" orientation="landscape" r:id="rId1"/>
    </customSheetView>
    <customSheetView guid="{5DDDE19F-F10F-4514-A83C-F71CDD7BE512}" showPageBreaks="1" fitToPage="1" topLeftCell="A7">
      <selection activeCell="N34" sqref="N34"/>
      <pageMargins left="0.7" right="0.7" top="0.78740157499999996" bottom="0.78740157499999996" header="0.3" footer="0.3"/>
      <pageSetup paperSize="9" scale="62" orientation="landscape" r:id="rId2"/>
    </customSheetView>
    <customSheetView guid="{9A6D0F5E-68D7-4772-8712-9975EE0A4B2C}" fitToPage="1" topLeftCell="A7">
      <selection activeCell="N34" sqref="N34"/>
      <pageMargins left="0.7" right="0.7" top="0.78740157499999996" bottom="0.78740157499999996" header="0.3" footer="0.3"/>
      <pageSetup paperSize="9" scale="62" orientation="landscape" r:id="rId3"/>
    </customSheetView>
  </customSheetViews>
  <mergeCells count="3">
    <mergeCell ref="A1:B1"/>
    <mergeCell ref="C1:D1"/>
    <mergeCell ref="E1:F1"/>
  </mergeCells>
  <pageMargins left="0.7" right="0.7" top="0.78740157499999996" bottom="0.78740157499999996" header="0.3" footer="0.3"/>
  <pageSetup paperSize="9" scale="65" orientation="landscape"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5"/>
  <sheetViews>
    <sheetView workbookViewId="0">
      <selection activeCell="C43" sqref="C43"/>
    </sheetView>
  </sheetViews>
  <sheetFormatPr baseColWidth="10" defaultRowHeight="15"/>
  <cols>
    <col min="2" max="2" width="30.5703125" bestFit="1" customWidth="1"/>
    <col min="8" max="8" width="9.140625" style="2"/>
  </cols>
  <sheetData>
    <row r="1" spans="1:15" s="36" customFormat="1" ht="39.950000000000003" customHeight="1">
      <c r="A1" s="796" t="s">
        <v>404</v>
      </c>
      <c r="B1" s="796"/>
      <c r="C1" s="796"/>
      <c r="D1" s="796"/>
      <c r="E1" s="796"/>
      <c r="F1" s="796"/>
      <c r="G1" s="64"/>
      <c r="H1" s="64"/>
      <c r="I1" s="64"/>
      <c r="J1" s="64"/>
      <c r="K1" s="64"/>
    </row>
    <row r="2" spans="1:15" ht="28.5">
      <c r="A2" s="26" t="s">
        <v>682</v>
      </c>
      <c r="B2" s="26"/>
      <c r="C2" s="26"/>
      <c r="D2" s="28" t="s">
        <v>0</v>
      </c>
      <c r="E2" s="228"/>
      <c r="F2" s="10"/>
      <c r="G2" s="10"/>
      <c r="H2" s="240"/>
      <c r="I2" s="10"/>
      <c r="J2" s="10"/>
      <c r="K2" s="10"/>
    </row>
    <row r="3" spans="1:15" ht="15.75">
      <c r="A3" s="228"/>
      <c r="B3" s="228"/>
      <c r="C3" s="228"/>
      <c r="D3" s="228"/>
      <c r="E3" s="228"/>
      <c r="F3" s="10"/>
      <c r="G3" s="10"/>
      <c r="H3" s="240"/>
      <c r="I3" s="10"/>
      <c r="J3" s="10"/>
      <c r="K3" s="10"/>
    </row>
    <row r="4" spans="1:15">
      <c r="A4" s="10" t="s">
        <v>86</v>
      </c>
      <c r="B4" s="10"/>
      <c r="C4" s="10"/>
      <c r="D4" s="10"/>
      <c r="E4" s="10"/>
      <c r="F4" s="210" t="s">
        <v>683</v>
      </c>
      <c r="G4" s="10"/>
      <c r="H4" s="240"/>
      <c r="I4" s="10"/>
      <c r="J4" s="10"/>
      <c r="K4" s="10"/>
    </row>
    <row r="5" spans="1:15">
      <c r="A5" s="10"/>
      <c r="B5" s="10"/>
      <c r="C5" s="10"/>
      <c r="D5" s="10"/>
      <c r="E5" s="10"/>
      <c r="F5" s="10"/>
      <c r="G5" s="10"/>
      <c r="H5" s="240"/>
      <c r="I5" s="10"/>
      <c r="J5" s="10"/>
      <c r="K5" s="10"/>
    </row>
    <row r="6" spans="1:15">
      <c r="A6" s="10" t="s">
        <v>548</v>
      </c>
      <c r="B6" s="10"/>
      <c r="C6" s="10"/>
      <c r="D6" s="10"/>
      <c r="E6" s="10"/>
      <c r="F6" s="439">
        <v>1.014</v>
      </c>
      <c r="G6" s="10"/>
      <c r="H6" s="240"/>
      <c r="I6" s="10"/>
      <c r="J6" s="10"/>
      <c r="K6" s="10"/>
    </row>
    <row r="7" spans="1:15">
      <c r="A7" s="10"/>
      <c r="B7" s="10"/>
      <c r="C7" s="10"/>
      <c r="D7" s="10"/>
      <c r="E7" s="10"/>
      <c r="F7" s="10"/>
      <c r="G7" s="10"/>
      <c r="H7" s="240"/>
      <c r="I7" s="10"/>
      <c r="J7" s="10"/>
      <c r="K7" s="10"/>
    </row>
    <row r="8" spans="1:15">
      <c r="A8" s="10"/>
      <c r="B8" s="12"/>
      <c r="C8" s="264"/>
      <c r="D8" s="264">
        <v>2013</v>
      </c>
      <c r="E8" s="143">
        <v>2016</v>
      </c>
      <c r="F8" s="143">
        <v>2018</v>
      </c>
      <c r="G8" s="440">
        <v>2020</v>
      </c>
      <c r="H8" s="143">
        <v>2022</v>
      </c>
      <c r="I8" s="436">
        <v>2023</v>
      </c>
      <c r="J8" s="10"/>
      <c r="K8" s="10"/>
    </row>
    <row r="9" spans="1:15" ht="17.25">
      <c r="A9" s="10"/>
      <c r="B9" s="271" t="s">
        <v>609</v>
      </c>
      <c r="C9" s="10"/>
      <c r="D9" s="10"/>
      <c r="E9" s="143"/>
      <c r="F9" s="143"/>
      <c r="G9" s="143"/>
      <c r="H9" s="143"/>
      <c r="I9" s="436"/>
      <c r="J9" s="10"/>
      <c r="K9" s="10"/>
    </row>
    <row r="10" spans="1:15" ht="15.75">
      <c r="A10" s="10"/>
      <c r="B10" s="313" t="s">
        <v>87</v>
      </c>
      <c r="C10" s="264"/>
      <c r="D10" s="279"/>
      <c r="E10" s="143"/>
      <c r="F10" s="154"/>
      <c r="G10" s="441"/>
      <c r="H10" s="143"/>
      <c r="I10" s="436"/>
      <c r="J10" s="10"/>
      <c r="K10" s="10"/>
    </row>
    <row r="11" spans="1:15" ht="15.75">
      <c r="A11" s="10"/>
      <c r="B11" s="266"/>
      <c r="C11" s="314"/>
      <c r="D11" s="315"/>
      <c r="E11" s="143"/>
      <c r="F11" s="154"/>
      <c r="G11" s="442"/>
      <c r="H11" s="143"/>
      <c r="I11" s="436"/>
      <c r="J11" s="10"/>
      <c r="K11" s="10"/>
    </row>
    <row r="12" spans="1:15">
      <c r="A12" s="10"/>
      <c r="B12" s="12" t="s">
        <v>256</v>
      </c>
      <c r="C12" s="264"/>
      <c r="D12" s="162">
        <v>2</v>
      </c>
      <c r="E12" s="143">
        <v>0.9</v>
      </c>
      <c r="F12" s="443">
        <v>2</v>
      </c>
      <c r="G12" s="201">
        <v>1.4</v>
      </c>
      <c r="H12" s="201">
        <v>8.6</v>
      </c>
      <c r="I12" s="436">
        <v>7.8</v>
      </c>
      <c r="J12" s="10"/>
      <c r="K12" s="10"/>
    </row>
    <row r="13" spans="1:15" ht="22.9" customHeight="1">
      <c r="A13" s="10"/>
      <c r="B13" s="12" t="s">
        <v>88</v>
      </c>
      <c r="C13" s="264"/>
      <c r="D13" s="162">
        <v>1.8</v>
      </c>
      <c r="E13" s="143">
        <v>0.6</v>
      </c>
      <c r="F13" s="440">
        <v>2.9</v>
      </c>
      <c r="G13" s="201">
        <v>0.8</v>
      </c>
      <c r="H13" s="201">
        <v>10.1</v>
      </c>
      <c r="I13" s="436">
        <v>1.1000000000000001</v>
      </c>
      <c r="J13" s="10"/>
      <c r="K13" s="10"/>
    </row>
    <row r="14" spans="1:15" ht="27.6" customHeight="1">
      <c r="A14" s="10"/>
      <c r="B14" s="12" t="s">
        <v>89</v>
      </c>
      <c r="C14" s="264"/>
      <c r="D14" s="162">
        <v>2.6</v>
      </c>
      <c r="E14" s="143">
        <v>1.8</v>
      </c>
      <c r="F14" s="440">
        <v>3.6</v>
      </c>
      <c r="G14" s="201">
        <v>3.2</v>
      </c>
      <c r="H14" s="201">
        <v>15</v>
      </c>
      <c r="I14" s="691">
        <v>7.5</v>
      </c>
      <c r="J14" s="10"/>
      <c r="K14" s="10"/>
    </row>
    <row r="15" spans="1:15">
      <c r="A15" s="10"/>
      <c r="B15" s="10"/>
      <c r="C15" s="10"/>
      <c r="D15" s="10"/>
      <c r="E15" s="10"/>
      <c r="F15" s="10"/>
      <c r="G15" s="10"/>
      <c r="H15" s="240"/>
      <c r="I15" s="10"/>
      <c r="J15" s="10"/>
      <c r="K15" s="10"/>
    </row>
    <row r="16" spans="1:15">
      <c r="G16" s="146"/>
      <c r="H16" s="240"/>
      <c r="I16" s="10"/>
      <c r="J16" s="714"/>
      <c r="K16" s="714"/>
      <c r="L16" s="714"/>
      <c r="M16" s="723" t="s">
        <v>90</v>
      </c>
      <c r="N16" s="723" t="s">
        <v>91</v>
      </c>
      <c r="O16" s="723" t="s">
        <v>92</v>
      </c>
    </row>
    <row r="17" spans="1:15">
      <c r="G17" s="147"/>
      <c r="H17" s="240"/>
      <c r="I17" s="10"/>
      <c r="J17" s="714">
        <v>2013</v>
      </c>
      <c r="K17" s="724"/>
      <c r="L17" s="714"/>
      <c r="M17" s="725">
        <v>0.02</v>
      </c>
      <c r="N17" s="725">
        <v>1.7999999999999999E-2</v>
      </c>
      <c r="O17" s="725">
        <v>2.5999999999999999E-2</v>
      </c>
    </row>
    <row r="18" spans="1:15">
      <c r="A18" s="726" t="s">
        <v>93</v>
      </c>
      <c r="B18" s="726"/>
      <c r="C18" s="726"/>
      <c r="D18" s="726"/>
      <c r="E18" s="726"/>
      <c r="F18" s="727"/>
      <c r="G18" s="147"/>
      <c r="H18" s="240"/>
      <c r="I18" s="10"/>
      <c r="J18" s="714">
        <v>2014</v>
      </c>
      <c r="K18" s="724"/>
      <c r="L18" s="714"/>
      <c r="M18" s="725">
        <v>1.7000000000000001E-2</v>
      </c>
      <c r="N18" s="725">
        <v>1.0999999999999999E-2</v>
      </c>
      <c r="O18" s="725">
        <v>2.3E-2</v>
      </c>
    </row>
    <row r="19" spans="1:15">
      <c r="G19" s="146"/>
      <c r="H19" s="240"/>
      <c r="I19" s="10"/>
      <c r="J19" s="714">
        <v>2016</v>
      </c>
      <c r="K19" s="714"/>
      <c r="L19" s="714"/>
      <c r="M19" s="725">
        <v>8.9999999999999993E-3</v>
      </c>
      <c r="N19" s="725">
        <v>6.0000000000000001E-3</v>
      </c>
      <c r="O19" s="725">
        <v>1.9E-2</v>
      </c>
    </row>
    <row r="20" spans="1:15">
      <c r="G20" s="146"/>
      <c r="H20" s="240"/>
      <c r="I20" s="10"/>
      <c r="J20" s="714">
        <v>2018</v>
      </c>
      <c r="K20" s="714"/>
      <c r="L20" s="714"/>
      <c r="M20" s="724">
        <v>0.02</v>
      </c>
      <c r="N20" s="724">
        <v>2.9000000000000001E-2</v>
      </c>
      <c r="O20" s="724">
        <v>3.2000000000000001E-2</v>
      </c>
    </row>
    <row r="21" spans="1:15">
      <c r="G21" s="10"/>
      <c r="H21" s="240"/>
      <c r="I21" s="10"/>
      <c r="J21" s="714">
        <v>2020</v>
      </c>
      <c r="K21" s="714"/>
      <c r="L21" s="714"/>
      <c r="M21" s="725">
        <v>1.4E-2</v>
      </c>
      <c r="N21" s="725">
        <v>8.0000000000000002E-3</v>
      </c>
      <c r="O21" s="725">
        <v>3.2000000000000001E-2</v>
      </c>
    </row>
    <row r="22" spans="1:15" ht="18.75">
      <c r="G22" s="77"/>
      <c r="H22" s="77"/>
      <c r="I22" s="10"/>
      <c r="J22" s="714">
        <v>2022</v>
      </c>
      <c r="K22" s="714"/>
      <c r="L22" s="714"/>
      <c r="M22" s="725">
        <v>8.5999999999999993E-2</v>
      </c>
      <c r="N22" s="725">
        <v>0.10100000000000001</v>
      </c>
      <c r="O22" s="725">
        <v>0.156</v>
      </c>
    </row>
    <row r="23" spans="1:15">
      <c r="G23" s="10"/>
      <c r="H23" s="240"/>
      <c r="I23" s="10"/>
      <c r="J23" s="714">
        <v>2023</v>
      </c>
      <c r="K23" s="714"/>
      <c r="L23" s="714"/>
      <c r="M23" s="725">
        <v>7.8E-2</v>
      </c>
      <c r="N23" s="725">
        <v>1.0999999999999999E-2</v>
      </c>
      <c r="O23" s="725">
        <v>0.08</v>
      </c>
    </row>
    <row r="24" spans="1:15">
      <c r="A24" s="10"/>
      <c r="B24" s="10"/>
      <c r="C24" s="10"/>
      <c r="D24" s="10"/>
      <c r="E24" s="10"/>
      <c r="F24" s="10"/>
      <c r="G24" s="10"/>
      <c r="H24" s="240"/>
      <c r="I24" s="10"/>
      <c r="J24" s="10"/>
      <c r="K24" s="10"/>
    </row>
    <row r="25" spans="1:15">
      <c r="G25" s="10"/>
      <c r="H25" s="240"/>
      <c r="I25" s="10"/>
      <c r="J25" s="10"/>
      <c r="K25" s="10"/>
    </row>
    <row r="26" spans="1:15">
      <c r="A26" s="10"/>
      <c r="B26" s="10"/>
      <c r="C26" s="10"/>
      <c r="D26" s="10"/>
      <c r="E26" s="10"/>
      <c r="F26" s="10"/>
      <c r="G26" s="10"/>
      <c r="H26" s="240"/>
      <c r="I26" s="10"/>
      <c r="J26" s="10"/>
      <c r="K26" s="10"/>
    </row>
    <row r="27" spans="1:15">
      <c r="A27" s="10"/>
      <c r="B27" s="10"/>
      <c r="C27" s="10"/>
      <c r="D27" s="10"/>
      <c r="E27" s="10"/>
      <c r="F27" s="10"/>
      <c r="G27" s="10"/>
      <c r="H27" s="240"/>
      <c r="I27" s="10"/>
      <c r="J27" s="10"/>
      <c r="K27" s="10"/>
    </row>
    <row r="28" spans="1:15">
      <c r="A28" s="10"/>
      <c r="B28" s="10"/>
      <c r="C28" s="10"/>
      <c r="D28" s="10"/>
      <c r="E28" s="10"/>
      <c r="F28" s="10"/>
      <c r="G28" s="10"/>
      <c r="H28" s="240"/>
      <c r="I28" s="10"/>
      <c r="J28" s="10"/>
      <c r="K28" s="10"/>
    </row>
    <row r="29" spans="1:15">
      <c r="A29" s="10"/>
      <c r="B29" s="10"/>
      <c r="C29" s="10"/>
      <c r="D29" s="10"/>
      <c r="E29" s="10"/>
      <c r="F29" s="10"/>
      <c r="G29" s="10"/>
      <c r="H29" s="240"/>
      <c r="I29" s="10"/>
      <c r="J29" s="10"/>
      <c r="K29" s="10"/>
    </row>
    <row r="30" spans="1:15">
      <c r="A30" s="10"/>
      <c r="B30" s="10"/>
      <c r="C30" s="10"/>
      <c r="D30" s="10"/>
      <c r="E30" s="10"/>
      <c r="F30" s="10"/>
      <c r="G30" s="10"/>
      <c r="H30" s="240"/>
      <c r="I30" s="10"/>
      <c r="J30" s="10"/>
      <c r="K30" s="10"/>
    </row>
    <row r="31" spans="1:15">
      <c r="A31" s="10"/>
      <c r="B31" s="10"/>
      <c r="C31" s="10"/>
      <c r="D31" s="10"/>
      <c r="E31" s="10"/>
      <c r="F31" s="10"/>
      <c r="G31" s="10"/>
      <c r="H31" s="240"/>
      <c r="I31" s="10"/>
      <c r="J31" s="10"/>
      <c r="K31" s="10"/>
    </row>
    <row r="32" spans="1:15">
      <c r="A32" s="10"/>
      <c r="B32" s="10"/>
      <c r="C32" s="10"/>
      <c r="D32" s="10"/>
      <c r="E32" s="10"/>
      <c r="F32" s="10"/>
      <c r="G32" s="10"/>
      <c r="H32" s="240"/>
      <c r="I32" s="10"/>
      <c r="J32" s="10"/>
      <c r="K32" s="10"/>
    </row>
    <row r="33" spans="1:11">
      <c r="A33" s="10"/>
      <c r="B33" s="10"/>
      <c r="C33" s="10"/>
      <c r="D33" s="10"/>
      <c r="E33" s="10"/>
      <c r="F33" s="10"/>
      <c r="G33" s="10"/>
      <c r="H33" s="240"/>
      <c r="I33" s="10"/>
      <c r="J33" s="10"/>
      <c r="K33" s="10"/>
    </row>
    <row r="34" spans="1:11">
      <c r="A34" s="10"/>
      <c r="B34" s="10"/>
      <c r="C34" s="10"/>
      <c r="D34" s="10"/>
      <c r="E34" s="10"/>
      <c r="F34" s="10"/>
      <c r="G34" s="10"/>
      <c r="H34" s="240"/>
      <c r="I34" s="10"/>
      <c r="J34" s="10"/>
      <c r="K34" s="10"/>
    </row>
    <row r="35" spans="1:11">
      <c r="A35" s="316" t="s">
        <v>610</v>
      </c>
      <c r="B35" s="10"/>
      <c r="C35" s="10"/>
      <c r="D35" s="10"/>
      <c r="E35" s="10"/>
      <c r="F35" s="10"/>
      <c r="G35" s="10"/>
      <c r="H35" s="240"/>
      <c r="I35" s="10"/>
      <c r="J35" s="10"/>
      <c r="K35" s="10"/>
    </row>
    <row r="36" spans="1:11">
      <c r="A36" s="75" t="s">
        <v>433</v>
      </c>
      <c r="B36" s="75"/>
      <c r="C36" s="75"/>
      <c r="D36" s="10"/>
      <c r="E36" s="10"/>
      <c r="F36" s="10"/>
      <c r="G36" s="10"/>
      <c r="H36" s="240"/>
      <c r="I36" s="10"/>
      <c r="J36" s="10"/>
      <c r="K36" s="10"/>
    </row>
    <row r="37" spans="1:11">
      <c r="D37" s="10"/>
      <c r="E37" s="10"/>
      <c r="F37" s="10"/>
      <c r="G37" s="10"/>
      <c r="H37" s="240"/>
      <c r="I37" s="10"/>
      <c r="J37" s="10"/>
      <c r="K37" s="10"/>
    </row>
    <row r="38" spans="1:11">
      <c r="D38" s="10"/>
      <c r="E38" s="10"/>
      <c r="F38" s="10"/>
      <c r="G38" s="10"/>
      <c r="H38" s="240"/>
      <c r="I38" s="10"/>
      <c r="J38" s="10"/>
      <c r="K38" s="10"/>
    </row>
    <row r="39" spans="1:11">
      <c r="A39" s="10"/>
      <c r="B39" s="10"/>
      <c r="C39" s="10"/>
      <c r="D39" s="10"/>
      <c r="E39" s="10"/>
      <c r="F39" s="10"/>
      <c r="G39" s="10"/>
      <c r="H39" s="240"/>
      <c r="I39" s="10"/>
      <c r="J39" s="10"/>
      <c r="K39" s="10"/>
    </row>
    <row r="40" spans="1:11">
      <c r="A40" s="10"/>
      <c r="B40" s="10"/>
      <c r="C40" s="10"/>
      <c r="D40" s="10"/>
      <c r="E40" s="10"/>
      <c r="F40" s="10"/>
      <c r="G40" s="10"/>
      <c r="H40" s="240"/>
      <c r="I40" s="10"/>
      <c r="J40" s="10"/>
      <c r="K40" s="10"/>
    </row>
    <row r="41" spans="1:11" ht="15.75">
      <c r="A41" s="17"/>
      <c r="B41" s="228"/>
      <c r="C41" s="228"/>
      <c r="D41" s="228"/>
      <c r="E41" s="10"/>
      <c r="F41" s="10"/>
      <c r="G41" s="10"/>
      <c r="H41" s="240"/>
      <c r="I41" s="10"/>
      <c r="J41" s="10"/>
      <c r="K41" s="10"/>
    </row>
    <row r="42" spans="1:11">
      <c r="A42" s="10"/>
      <c r="B42" s="10"/>
      <c r="C42" s="10"/>
      <c r="D42" s="10"/>
      <c r="E42" s="10"/>
      <c r="F42" s="10"/>
      <c r="G42" s="10"/>
      <c r="H42" s="240"/>
      <c r="I42" s="10"/>
      <c r="J42" s="10"/>
      <c r="K42" s="10"/>
    </row>
    <row r="43" spans="1:11">
      <c r="D43" s="10"/>
      <c r="E43" s="10"/>
      <c r="F43" s="10"/>
      <c r="G43" s="10"/>
      <c r="H43" s="240"/>
      <c r="I43" s="10"/>
      <c r="J43" s="10"/>
      <c r="K43" s="10"/>
    </row>
    <row r="44" spans="1:11">
      <c r="D44" s="10"/>
      <c r="E44" s="10"/>
      <c r="F44" s="10"/>
      <c r="G44" s="10"/>
      <c r="H44" s="240"/>
      <c r="I44" s="10"/>
      <c r="J44" s="10"/>
      <c r="K44" s="10"/>
    </row>
    <row r="45" spans="1:11">
      <c r="A45" s="10"/>
      <c r="B45" s="10"/>
      <c r="C45" s="10"/>
      <c r="D45" s="10"/>
      <c r="E45" s="10"/>
      <c r="F45" s="10"/>
      <c r="G45" s="10"/>
      <c r="H45" s="240"/>
      <c r="I45" s="10"/>
      <c r="J45" s="10"/>
      <c r="K45" s="10"/>
    </row>
  </sheetData>
  <customSheetViews>
    <customSheetView guid="{00BB8FC3-0B7F-4485-B1CD-FF164EC3970C}" fitToPage="1">
      <selection activeCell="D2" sqref="D2"/>
      <pageMargins left="0.7" right="0.7" top="0.78740157499999996" bottom="0.78740157499999996" header="0.3" footer="0.3"/>
      <pageSetup paperSize="9" scale="78" orientation="portrait" r:id="rId1"/>
    </customSheetView>
    <customSheetView guid="{5DDDE19F-F10F-4514-A83C-F71CDD7BE512}" showPageBreaks="1" fitToPage="1">
      <selection activeCell="D2" sqref="D2"/>
      <pageMargins left="0.7" right="0.7" top="0.78740157499999996" bottom="0.78740157499999996" header="0.3" footer="0.3"/>
      <pageSetup paperSize="9" scale="78" orientation="portrait" r:id="rId2"/>
    </customSheetView>
    <customSheetView guid="{9A6D0F5E-68D7-4772-8712-9975EE0A4B2C}" fitToPage="1">
      <selection activeCell="D2" sqref="D2"/>
      <pageMargins left="0.7" right="0.7" top="0.78740157499999996" bottom="0.78740157499999996" header="0.3" footer="0.3"/>
      <pageSetup paperSize="9" scale="78" orientation="portrait" r:id="rId3"/>
    </customSheetView>
  </customSheetViews>
  <mergeCells count="1">
    <mergeCell ref="A1:F1"/>
  </mergeCells>
  <pageMargins left="0.7" right="0.7" top="0.78740157499999996" bottom="0.78740157499999996" header="0.3" footer="0.3"/>
  <pageSetup paperSize="9" scale="73" orientation="portrait"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4"/>
  <sheetViews>
    <sheetView topLeftCell="A8" workbookViewId="0">
      <selection activeCell="H16" sqref="H16"/>
    </sheetView>
  </sheetViews>
  <sheetFormatPr baseColWidth="10" defaultRowHeight="15"/>
  <cols>
    <col min="1" max="1" width="21.28515625" customWidth="1"/>
    <col min="2" max="2" width="13.28515625" customWidth="1"/>
    <col min="3" max="3" width="16.140625" customWidth="1"/>
    <col min="4" max="4" width="11.85546875" bestFit="1" customWidth="1"/>
    <col min="5" max="5" width="10.7109375" customWidth="1"/>
  </cols>
  <sheetData>
    <row r="1" spans="1:7" s="386" customFormat="1" ht="39.950000000000003" customHeight="1">
      <c r="A1" s="660" t="s">
        <v>101</v>
      </c>
      <c r="B1" s="660"/>
      <c r="C1" s="660"/>
    </row>
    <row r="2" spans="1:7" ht="18.75">
      <c r="A2" s="317" t="s">
        <v>454</v>
      </c>
      <c r="B2" s="253"/>
      <c r="C2" s="253"/>
      <c r="D2" s="253"/>
      <c r="E2" s="143"/>
      <c r="F2" s="240"/>
      <c r="G2" s="10"/>
    </row>
    <row r="3" spans="1:7">
      <c r="A3" s="318"/>
      <c r="B3" s="253"/>
      <c r="C3" s="253"/>
      <c r="D3" s="253"/>
      <c r="E3" s="143"/>
      <c r="F3" s="240"/>
      <c r="G3" s="10"/>
    </row>
    <row r="4" spans="1:7">
      <c r="A4" s="445" t="s">
        <v>102</v>
      </c>
      <c r="B4" s="210" t="s">
        <v>103</v>
      </c>
      <c r="C4" s="210" t="s">
        <v>104</v>
      </c>
      <c r="D4" s="210" t="s">
        <v>105</v>
      </c>
      <c r="E4" s="210" t="s">
        <v>106</v>
      </c>
      <c r="F4" s="102"/>
      <c r="G4" s="10"/>
    </row>
    <row r="5" spans="1:7" s="160" customFormat="1">
      <c r="A5" s="319"/>
      <c r="B5" s="320"/>
      <c r="C5" s="320"/>
      <c r="D5" s="320"/>
      <c r="E5" s="320"/>
      <c r="F5" s="102"/>
      <c r="G5" s="10"/>
    </row>
    <row r="6" spans="1:7" s="160" customFormat="1">
      <c r="A6" s="318">
        <v>2000</v>
      </c>
      <c r="B6" s="321">
        <v>18612</v>
      </c>
      <c r="C6" s="322">
        <v>3728</v>
      </c>
      <c r="D6" s="323">
        <f t="shared" ref="D6" si="0">C6*100/B6</f>
        <v>20.030088115194498</v>
      </c>
      <c r="E6" s="164">
        <v>14884</v>
      </c>
      <c r="F6" s="102"/>
      <c r="G6" s="10"/>
    </row>
    <row r="7" spans="1:7">
      <c r="A7" s="318">
        <v>2010</v>
      </c>
      <c r="B7" s="321">
        <v>22430</v>
      </c>
      <c r="C7" s="322">
        <v>3891</v>
      </c>
      <c r="D7" s="323">
        <f t="shared" ref="D7:D14" si="1">C7*100/B7</f>
        <v>17.347302719572003</v>
      </c>
      <c r="E7" s="164">
        <v>18539</v>
      </c>
      <c r="F7" s="102"/>
      <c r="G7" s="10"/>
    </row>
    <row r="8" spans="1:7">
      <c r="A8" s="318">
        <v>2012</v>
      </c>
      <c r="B8" s="321">
        <v>23538</v>
      </c>
      <c r="C8" s="322">
        <v>3947</v>
      </c>
      <c r="D8" s="323">
        <f t="shared" si="1"/>
        <v>16.768629450250657</v>
      </c>
      <c r="E8" s="164">
        <v>19591</v>
      </c>
      <c r="F8" s="102"/>
      <c r="G8" s="10"/>
    </row>
    <row r="9" spans="1:7" s="160" customFormat="1">
      <c r="A9" s="318">
        <v>2014</v>
      </c>
      <c r="B9" s="321">
        <v>24670</v>
      </c>
      <c r="C9" s="322">
        <v>3964</v>
      </c>
      <c r="D9" s="323">
        <f t="shared" si="1"/>
        <v>16.068098905553303</v>
      </c>
      <c r="E9" s="164">
        <v>20706</v>
      </c>
      <c r="F9" s="102"/>
      <c r="G9" s="10"/>
    </row>
    <row r="10" spans="1:7" s="143" customFormat="1">
      <c r="A10" s="318">
        <v>2015</v>
      </c>
      <c r="B10" s="321">
        <v>25259</v>
      </c>
      <c r="C10" s="322">
        <v>4047</v>
      </c>
      <c r="D10" s="323">
        <f t="shared" si="1"/>
        <v>16.022011956134445</v>
      </c>
      <c r="E10" s="164">
        <v>21212</v>
      </c>
      <c r="F10" s="170"/>
    </row>
    <row r="11" spans="1:7" s="160" customFormat="1">
      <c r="A11" s="318">
        <v>2016</v>
      </c>
      <c r="B11" s="321">
        <v>25503</v>
      </c>
      <c r="C11" s="322">
        <v>3963</v>
      </c>
      <c r="D11" s="323">
        <f t="shared" si="1"/>
        <v>15.539348311963298</v>
      </c>
      <c r="E11" s="164">
        <v>21540</v>
      </c>
      <c r="F11" s="102"/>
      <c r="G11" s="10"/>
    </row>
    <row r="12" spans="1:7" s="160" customFormat="1">
      <c r="A12" s="318">
        <v>2017</v>
      </c>
      <c r="B12" s="321">
        <v>25956</v>
      </c>
      <c r="C12" s="322">
        <v>4077</v>
      </c>
      <c r="D12" s="323">
        <f t="shared" si="1"/>
        <v>15.707350901525659</v>
      </c>
      <c r="E12" s="164">
        <v>21879</v>
      </c>
      <c r="F12" s="102"/>
      <c r="G12" s="10"/>
    </row>
    <row r="13" spans="1:7" s="160" customFormat="1">
      <c r="A13" s="318">
        <v>2018</v>
      </c>
      <c r="B13" s="321">
        <v>26328</v>
      </c>
      <c r="C13" s="322">
        <v>3994</v>
      </c>
      <c r="D13" s="323">
        <f t="shared" si="1"/>
        <v>15.170161045274993</v>
      </c>
      <c r="E13" s="164">
        <v>22334</v>
      </c>
      <c r="F13" s="102"/>
      <c r="G13" s="10"/>
    </row>
    <row r="14" spans="1:7" s="160" customFormat="1">
      <c r="A14" s="318">
        <v>2019</v>
      </c>
      <c r="B14" s="321">
        <v>26800</v>
      </c>
      <c r="C14" s="322">
        <v>4028</v>
      </c>
      <c r="D14" s="323">
        <f t="shared" si="1"/>
        <v>15.029850746268657</v>
      </c>
      <c r="E14" s="164">
        <v>22772</v>
      </c>
      <c r="F14" s="102"/>
      <c r="G14" s="10"/>
    </row>
    <row r="15" spans="1:7" s="160" customFormat="1">
      <c r="A15" s="318">
        <v>2020</v>
      </c>
      <c r="B15" s="321">
        <v>27351</v>
      </c>
      <c r="C15" s="322">
        <v>4116</v>
      </c>
      <c r="D15" s="323">
        <f>C15*100/B15</f>
        <v>15.048809915542392</v>
      </c>
      <c r="E15" s="164">
        <v>23235</v>
      </c>
      <c r="F15" s="102"/>
      <c r="G15" s="10"/>
    </row>
    <row r="16" spans="1:7" s="160" customFormat="1">
      <c r="A16" s="525">
        <v>2021</v>
      </c>
      <c r="B16" s="526">
        <v>28016</v>
      </c>
      <c r="C16" s="527">
        <v>3976</v>
      </c>
      <c r="D16" s="528">
        <f>C16*100/B16</f>
        <v>14.191890348372359</v>
      </c>
      <c r="E16" s="245">
        <v>24040</v>
      </c>
      <c r="F16" s="102"/>
      <c r="G16" s="10"/>
    </row>
    <row r="17" spans="1:7" s="160" customFormat="1">
      <c r="A17" s="525">
        <v>2022</v>
      </c>
      <c r="B17" s="526">
        <v>28365</v>
      </c>
      <c r="C17" s="527">
        <v>3894</v>
      </c>
      <c r="D17" s="528">
        <f>C17*100/B17</f>
        <v>13.728186144896879</v>
      </c>
      <c r="E17" s="245">
        <v>24471</v>
      </c>
      <c r="F17" s="102"/>
      <c r="G17" s="10"/>
    </row>
    <row r="18" spans="1:7">
      <c r="A18" s="517">
        <v>2023</v>
      </c>
      <c r="B18" s="483">
        <v>28766</v>
      </c>
      <c r="C18" s="518">
        <v>3814</v>
      </c>
      <c r="D18" s="519">
        <f>C18*100/B18</f>
        <v>13.258708197177222</v>
      </c>
      <c r="E18" s="454">
        <v>24952</v>
      </c>
      <c r="F18" s="102"/>
      <c r="G18" s="10"/>
    </row>
    <row r="19" spans="1:7" s="160" customFormat="1">
      <c r="A19" s="525"/>
      <c r="B19" s="526"/>
      <c r="C19" s="527"/>
      <c r="D19" s="528"/>
      <c r="E19" s="245"/>
      <c r="F19" s="102"/>
      <c r="G19" s="10"/>
    </row>
    <row r="20" spans="1:7">
      <c r="A20" s="445" t="s">
        <v>107</v>
      </c>
      <c r="B20" s="325"/>
      <c r="C20" s="325"/>
      <c r="D20" s="325"/>
      <c r="E20" s="33"/>
      <c r="F20" s="102"/>
      <c r="G20" s="10"/>
    </row>
    <row r="21" spans="1:7" s="160" customFormat="1">
      <c r="A21" s="319"/>
      <c r="B21" s="325"/>
      <c r="C21" s="325"/>
      <c r="D21" s="325"/>
      <c r="E21" s="33"/>
      <c r="F21" s="102"/>
      <c r="G21" s="10"/>
    </row>
    <row r="22" spans="1:7" s="160" customFormat="1">
      <c r="A22" s="318">
        <v>2000</v>
      </c>
      <c r="B22" s="321">
        <v>22340</v>
      </c>
      <c r="C22" s="322">
        <v>4338</v>
      </c>
      <c r="D22" s="323">
        <f t="shared" ref="D22" si="2">C22*100/B22</f>
        <v>19.418084153983884</v>
      </c>
      <c r="E22" s="164">
        <v>18002</v>
      </c>
      <c r="F22" s="102"/>
      <c r="G22" s="10"/>
    </row>
    <row r="23" spans="1:7">
      <c r="A23" s="318">
        <v>2010</v>
      </c>
      <c r="B23" s="321">
        <v>26933</v>
      </c>
      <c r="C23" s="322">
        <v>4651</v>
      </c>
      <c r="D23" s="323">
        <f t="shared" ref="D23:D30" si="3">C23*100/B23</f>
        <v>17.26877807893662</v>
      </c>
      <c r="E23" s="164">
        <v>22282</v>
      </c>
      <c r="F23" s="102"/>
      <c r="G23" s="10"/>
    </row>
    <row r="24" spans="1:7">
      <c r="A24" s="318">
        <v>2012</v>
      </c>
      <c r="B24" s="322">
        <v>28080</v>
      </c>
      <c r="C24" s="322">
        <v>4661</v>
      </c>
      <c r="D24" s="323">
        <f t="shared" si="3"/>
        <v>16.599002849002851</v>
      </c>
      <c r="E24" s="164">
        <v>23419</v>
      </c>
      <c r="F24" s="102"/>
      <c r="G24" s="10"/>
    </row>
    <row r="25" spans="1:7" s="160" customFormat="1">
      <c r="A25" s="318">
        <v>2014</v>
      </c>
      <c r="B25" s="322">
        <v>29379</v>
      </c>
      <c r="C25" s="322">
        <v>4685</v>
      </c>
      <c r="D25" s="323">
        <f t="shared" si="3"/>
        <v>15.946764695871201</v>
      </c>
      <c r="E25" s="164">
        <v>24694</v>
      </c>
      <c r="F25" s="102"/>
      <c r="G25" s="10"/>
    </row>
    <row r="26" spans="1:7" s="143" customFormat="1">
      <c r="A26" s="318">
        <v>2015</v>
      </c>
      <c r="B26" s="322">
        <v>29978</v>
      </c>
      <c r="C26" s="322">
        <v>4734</v>
      </c>
      <c r="D26" s="323">
        <f t="shared" si="3"/>
        <v>15.791580492361065</v>
      </c>
      <c r="E26" s="164">
        <v>25244</v>
      </c>
      <c r="F26" s="170"/>
    </row>
    <row r="27" spans="1:7" s="160" customFormat="1">
      <c r="A27" s="318">
        <v>2016</v>
      </c>
      <c r="B27" s="322">
        <v>30215</v>
      </c>
      <c r="C27" s="322">
        <v>4613</v>
      </c>
      <c r="D27" s="323">
        <f t="shared" si="3"/>
        <v>15.267251365215952</v>
      </c>
      <c r="E27" s="164">
        <v>25602</v>
      </c>
      <c r="F27" s="102"/>
      <c r="G27" s="10"/>
    </row>
    <row r="28" spans="1:7" s="160" customFormat="1">
      <c r="A28" s="318">
        <v>2017</v>
      </c>
      <c r="B28" s="322">
        <v>30630</v>
      </c>
      <c r="C28" s="322">
        <v>4716</v>
      </c>
      <c r="D28" s="323">
        <f t="shared" si="3"/>
        <v>15.396669931439765</v>
      </c>
      <c r="E28" s="164">
        <v>25914</v>
      </c>
      <c r="F28" s="102"/>
      <c r="G28" s="10"/>
    </row>
    <row r="29" spans="1:7" s="160" customFormat="1">
      <c r="A29" s="318">
        <v>2018</v>
      </c>
      <c r="B29" s="322">
        <v>30961</v>
      </c>
      <c r="C29" s="322">
        <v>4599</v>
      </c>
      <c r="D29" s="323">
        <f t="shared" si="3"/>
        <v>14.854171376893511</v>
      </c>
      <c r="E29" s="164">
        <v>26362</v>
      </c>
      <c r="F29" s="102"/>
      <c r="G29" s="10"/>
    </row>
    <row r="30" spans="1:7" s="160" customFormat="1">
      <c r="A30" s="318">
        <v>2019</v>
      </c>
      <c r="B30" s="322">
        <v>31496</v>
      </c>
      <c r="C30" s="322">
        <v>4643</v>
      </c>
      <c r="D30" s="323">
        <f t="shared" si="3"/>
        <v>14.741554483108967</v>
      </c>
      <c r="E30" s="164">
        <v>26853</v>
      </c>
      <c r="F30" s="102"/>
      <c r="G30" s="10"/>
    </row>
    <row r="31" spans="1:7" s="160" customFormat="1">
      <c r="A31" s="318">
        <v>2020</v>
      </c>
      <c r="B31" s="322">
        <v>32164</v>
      </c>
      <c r="C31" s="322">
        <v>4759</v>
      </c>
      <c r="D31" s="323">
        <f>C31*100/B31</f>
        <v>14.796045268001492</v>
      </c>
      <c r="E31" s="164">
        <v>27405</v>
      </c>
      <c r="F31" s="102"/>
      <c r="G31" s="10"/>
    </row>
    <row r="32" spans="1:7" s="130" customFormat="1">
      <c r="A32" s="525">
        <v>2021</v>
      </c>
      <c r="B32" s="527">
        <v>32987</v>
      </c>
      <c r="C32" s="527">
        <v>4589</v>
      </c>
      <c r="D32" s="528">
        <f>C32*100/B32</f>
        <v>13.911540910055477</v>
      </c>
      <c r="E32" s="245">
        <v>28398</v>
      </c>
      <c r="F32" s="103"/>
      <c r="G32" s="308"/>
    </row>
    <row r="33" spans="1:7">
      <c r="A33" s="525">
        <v>2022</v>
      </c>
      <c r="B33" s="526">
        <v>33381</v>
      </c>
      <c r="C33" s="527">
        <v>4504</v>
      </c>
      <c r="D33" s="528">
        <f>C33*100/B33</f>
        <v>13.492705431233336</v>
      </c>
      <c r="E33" s="245">
        <v>28877</v>
      </c>
      <c r="F33" s="102"/>
      <c r="G33" s="10"/>
    </row>
    <row r="34" spans="1:7" s="160" customFormat="1">
      <c r="A34" s="704">
        <v>2023</v>
      </c>
      <c r="B34" s="699">
        <v>33831</v>
      </c>
      <c r="C34" s="478">
        <v>4435</v>
      </c>
      <c r="D34" s="705">
        <f>C34*100/B34</f>
        <v>13.109278472406965</v>
      </c>
      <c r="E34" s="464">
        <v>29396</v>
      </c>
      <c r="F34" s="102"/>
      <c r="G34" s="10"/>
    </row>
    <row r="35" spans="1:7" s="130" customFormat="1">
      <c r="A35" s="525"/>
      <c r="B35" s="526"/>
      <c r="C35" s="527"/>
      <c r="D35" s="528"/>
      <c r="E35" s="245"/>
      <c r="F35" s="103"/>
      <c r="G35" s="308"/>
    </row>
    <row r="36" spans="1:7">
      <c r="A36" s="445" t="s">
        <v>108</v>
      </c>
      <c r="B36" s="325"/>
      <c r="C36" s="325"/>
      <c r="D36" s="325"/>
      <c r="E36" s="33"/>
      <c r="F36" s="102"/>
      <c r="G36" s="10"/>
    </row>
    <row r="37" spans="1:7" s="160" customFormat="1">
      <c r="A37" s="319"/>
      <c r="B37" s="325"/>
      <c r="C37" s="325"/>
      <c r="D37" s="325"/>
      <c r="E37" s="33"/>
      <c r="F37" s="102"/>
      <c r="G37" s="10"/>
    </row>
    <row r="38" spans="1:7" s="160" customFormat="1">
      <c r="A38" s="318">
        <v>2000</v>
      </c>
      <c r="B38" s="322">
        <v>25288</v>
      </c>
      <c r="C38" s="322">
        <v>4824</v>
      </c>
      <c r="D38" s="323">
        <f t="shared" ref="D38" si="4">C38*100/B38</f>
        <v>19.076241695665928</v>
      </c>
      <c r="E38" s="164">
        <v>20464</v>
      </c>
      <c r="F38" s="102"/>
      <c r="G38" s="10"/>
    </row>
    <row r="39" spans="1:7">
      <c r="A39" s="318">
        <v>2010</v>
      </c>
      <c r="B39" s="322">
        <v>28993</v>
      </c>
      <c r="C39" s="322">
        <v>4947</v>
      </c>
      <c r="D39" s="323">
        <f t="shared" ref="D39:D46" si="5">C39*100/B39</f>
        <v>17.062739281895631</v>
      </c>
      <c r="E39" s="164">
        <v>24046</v>
      </c>
      <c r="F39" s="102"/>
      <c r="G39" s="10"/>
    </row>
    <row r="40" spans="1:7">
      <c r="A40" s="318">
        <v>2012</v>
      </c>
      <c r="B40" s="322">
        <v>30069</v>
      </c>
      <c r="C40" s="322">
        <v>4931</v>
      </c>
      <c r="D40" s="323">
        <f t="shared" si="5"/>
        <v>16.398949083773985</v>
      </c>
      <c r="E40" s="164">
        <v>25138</v>
      </c>
      <c r="F40" s="102"/>
      <c r="G40" s="10"/>
    </row>
    <row r="41" spans="1:7" s="160" customFormat="1">
      <c r="A41" s="318">
        <v>2014</v>
      </c>
      <c r="B41" s="322">
        <v>31341</v>
      </c>
      <c r="C41" s="322">
        <v>4937</v>
      </c>
      <c r="D41" s="323">
        <f t="shared" si="5"/>
        <v>15.752528636610192</v>
      </c>
      <c r="E41" s="164">
        <v>26404</v>
      </c>
      <c r="F41" s="102"/>
      <c r="G41" s="10"/>
    </row>
    <row r="42" spans="1:7" s="143" customFormat="1">
      <c r="A42" s="318">
        <v>2015</v>
      </c>
      <c r="B42" s="322">
        <v>32021</v>
      </c>
      <c r="C42" s="322">
        <v>5019</v>
      </c>
      <c r="D42" s="323">
        <f t="shared" si="5"/>
        <v>15.674088879173043</v>
      </c>
      <c r="E42" s="164">
        <v>27002</v>
      </c>
      <c r="F42" s="170"/>
    </row>
    <row r="43" spans="1:7" s="160" customFormat="1">
      <c r="A43" s="318">
        <v>2016</v>
      </c>
      <c r="B43" s="322">
        <v>32274</v>
      </c>
      <c r="C43" s="322">
        <v>4875</v>
      </c>
      <c r="D43" s="323">
        <f t="shared" si="5"/>
        <v>15.10503811117308</v>
      </c>
      <c r="E43" s="164">
        <v>27399</v>
      </c>
      <c r="F43" s="102"/>
      <c r="G43" s="10"/>
    </row>
    <row r="44" spans="1:7" s="160" customFormat="1">
      <c r="A44" s="318">
        <v>2017</v>
      </c>
      <c r="B44" s="322">
        <v>32643</v>
      </c>
      <c r="C44" s="322">
        <v>4981</v>
      </c>
      <c r="D44" s="323">
        <f t="shared" si="5"/>
        <v>15.259014183745366</v>
      </c>
      <c r="E44" s="164">
        <v>27662</v>
      </c>
      <c r="F44" s="102"/>
      <c r="G44" s="10"/>
    </row>
    <row r="45" spans="1:7" s="160" customFormat="1">
      <c r="A45" s="318">
        <v>2018</v>
      </c>
      <c r="B45" s="322">
        <v>32973</v>
      </c>
      <c r="C45" s="322">
        <v>4858</v>
      </c>
      <c r="D45" s="323">
        <f t="shared" si="5"/>
        <v>14.733266612076548</v>
      </c>
      <c r="E45" s="164">
        <v>28115</v>
      </c>
      <c r="F45" s="102"/>
      <c r="G45" s="10"/>
    </row>
    <row r="46" spans="1:7" s="160" customFormat="1">
      <c r="A46" s="318">
        <v>2019</v>
      </c>
      <c r="B46" s="322">
        <v>33516</v>
      </c>
      <c r="C46" s="322">
        <v>4907</v>
      </c>
      <c r="D46" s="323">
        <f t="shared" si="5"/>
        <v>14.640768588137009</v>
      </c>
      <c r="E46" s="164">
        <v>28609</v>
      </c>
      <c r="F46" s="102"/>
      <c r="G46" s="10"/>
    </row>
    <row r="47" spans="1:7" s="160" customFormat="1">
      <c r="A47" s="318">
        <v>2020</v>
      </c>
      <c r="B47" s="322">
        <v>34219</v>
      </c>
      <c r="C47" s="322">
        <v>5036</v>
      </c>
      <c r="D47" s="323">
        <f>C47*100/B47</f>
        <v>14.716970104328006</v>
      </c>
      <c r="E47" s="164">
        <v>29183</v>
      </c>
      <c r="F47" s="102"/>
      <c r="G47" s="10"/>
    </row>
    <row r="48" spans="1:7" s="130" customFormat="1">
      <c r="A48" s="525">
        <v>2021</v>
      </c>
      <c r="B48" s="527">
        <v>35096</v>
      </c>
      <c r="C48" s="527">
        <v>4862</v>
      </c>
      <c r="D48" s="528">
        <f>C48*100/B48</f>
        <v>13.85343059038067</v>
      </c>
      <c r="E48" s="245">
        <v>30234</v>
      </c>
      <c r="F48" s="103"/>
      <c r="G48" s="308"/>
    </row>
    <row r="49" spans="1:7" s="143" customFormat="1">
      <c r="A49" s="525">
        <v>2022</v>
      </c>
      <c r="B49" s="527">
        <v>35515</v>
      </c>
      <c r="C49" s="527">
        <v>4770</v>
      </c>
      <c r="D49" s="528">
        <f>C49*100/B49</f>
        <v>13.430944671265662</v>
      </c>
      <c r="E49" s="245">
        <v>30745</v>
      </c>
      <c r="F49" s="170"/>
    </row>
    <row r="50" spans="1:7" s="143" customFormat="1">
      <c r="A50" s="704">
        <v>2023</v>
      </c>
      <c r="B50" s="478">
        <v>35963</v>
      </c>
      <c r="C50" s="478">
        <v>4703</v>
      </c>
      <c r="D50" s="705">
        <f>C50*100/B50</f>
        <v>13.07732947751856</v>
      </c>
      <c r="E50" s="464">
        <v>31260</v>
      </c>
      <c r="F50" s="170"/>
    </row>
    <row r="51" spans="1:7" s="143" customFormat="1">
      <c r="A51" s="525"/>
      <c r="B51" s="527"/>
      <c r="C51" s="527"/>
      <c r="D51" s="528"/>
      <c r="E51" s="245"/>
      <c r="F51" s="170"/>
    </row>
    <row r="52" spans="1:7">
      <c r="A52" s="446" t="s">
        <v>109</v>
      </c>
      <c r="B52" s="324"/>
      <c r="C52" s="324"/>
      <c r="D52" s="324"/>
      <c r="E52" s="102"/>
      <c r="F52" s="102"/>
      <c r="G52" s="10"/>
    </row>
    <row r="53" spans="1:7">
      <c r="A53" s="33"/>
      <c r="B53" s="33"/>
      <c r="C53" s="33"/>
      <c r="D53" s="33"/>
      <c r="E53" s="33"/>
      <c r="F53" s="33"/>
      <c r="G53" s="10"/>
    </row>
    <row r="54" spans="1:7">
      <c r="A54" s="33"/>
      <c r="B54" s="33"/>
      <c r="C54" s="33"/>
      <c r="D54" s="33"/>
      <c r="E54" s="33"/>
      <c r="F54" s="33"/>
    </row>
  </sheetData>
  <customSheetViews>
    <customSheetView guid="{00BB8FC3-0B7F-4485-B1CD-FF164EC3970C}" fitToPage="1">
      <selection activeCell="C40" sqref="C40"/>
      <pageMargins left="0.70866141732283472" right="0.70866141732283472" top="0.78740157480314965" bottom="0.78740157480314965" header="0.31496062992125984" footer="0.31496062992125984"/>
      <pageSetup paperSize="9" orientation="portrait" r:id="rId1"/>
    </customSheetView>
    <customSheetView guid="{5DDDE19F-F10F-4514-A83C-F71CDD7BE512}" fitToPage="1">
      <selection activeCell="C40" sqref="C40"/>
      <pageMargins left="0.70866141732283472" right="0.70866141732283472" top="0.78740157480314965" bottom="0.78740157480314965" header="0.31496062992125984" footer="0.31496062992125984"/>
      <pageSetup paperSize="9" orientation="portrait" r:id="rId2"/>
    </customSheetView>
    <customSheetView guid="{9A6D0F5E-68D7-4772-8712-9975EE0A4B2C}" fitToPage="1">
      <selection activeCell="C40" sqref="C40"/>
      <pageMargins left="0.70866141732283472" right="0.70866141732283472" top="0.78740157480314965" bottom="0.78740157480314965" header="0.31496062992125984" footer="0.31496062992125984"/>
      <pageSetup paperSize="9" orientation="portrait" r:id="rId3"/>
    </customSheetView>
  </customSheetViews>
  <pageMargins left="0.70866141732283472" right="0.70866141732283472" top="0.78740157480314965" bottom="0.78740157480314965" header="0.31496062992125984" footer="0.31496062992125984"/>
  <pageSetup paperSize="9" scale="90"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0"/>
  <sheetViews>
    <sheetView topLeftCell="A6" workbookViewId="0">
      <selection activeCell="H15" sqref="H15"/>
    </sheetView>
  </sheetViews>
  <sheetFormatPr baseColWidth="10" defaultRowHeight="15"/>
  <cols>
    <col min="1" max="1" width="35.140625" customWidth="1"/>
    <col min="2" max="2" width="10.85546875"/>
    <col min="3" max="3" width="14.42578125" customWidth="1"/>
    <col min="4" max="4" width="15" customWidth="1"/>
  </cols>
  <sheetData>
    <row r="1" spans="1:8" s="130" customFormat="1" ht="39.950000000000003" customHeight="1">
      <c r="A1" s="660" t="s">
        <v>101</v>
      </c>
      <c r="B1" s="660"/>
      <c r="C1" s="386"/>
      <c r="D1" s="386"/>
      <c r="E1" s="386"/>
      <c r="F1" s="386"/>
    </row>
    <row r="2" spans="1:8" ht="23.25">
      <c r="A2" s="431"/>
      <c r="B2" s="64"/>
      <c r="C2" s="64"/>
      <c r="D2" s="465"/>
      <c r="E2" s="10"/>
      <c r="F2" s="10"/>
    </row>
    <row r="3" spans="1:8" ht="15.75">
      <c r="A3" s="331" t="s">
        <v>684</v>
      </c>
      <c r="B3" s="253"/>
      <c r="C3" s="253"/>
      <c r="D3" s="326"/>
      <c r="E3" s="10"/>
      <c r="F3" s="10"/>
    </row>
    <row r="4" spans="1:8">
      <c r="A4" s="253"/>
      <c r="B4" s="253"/>
      <c r="C4" s="253"/>
      <c r="D4" s="326"/>
      <c r="E4" s="10"/>
      <c r="F4" s="10"/>
    </row>
    <row r="5" spans="1:8" ht="30">
      <c r="A5" s="473" t="s">
        <v>315</v>
      </c>
      <c r="B5" s="474" t="s">
        <v>319</v>
      </c>
      <c r="C5" s="442" t="s">
        <v>105</v>
      </c>
      <c r="D5" s="442" t="s">
        <v>314</v>
      </c>
      <c r="E5" s="163" t="s">
        <v>105</v>
      </c>
      <c r="F5" s="10"/>
      <c r="H5" s="120"/>
    </row>
    <row r="6" spans="1:8" ht="16.5">
      <c r="A6" s="447" t="s">
        <v>110</v>
      </c>
      <c r="B6" s="448">
        <v>15318</v>
      </c>
      <c r="C6" s="449">
        <f>B6/$B$13*100</f>
        <v>45.277999467943602</v>
      </c>
      <c r="D6" s="450">
        <v>13201</v>
      </c>
      <c r="E6" s="201">
        <f>D6/$D$13*100</f>
        <v>44.907470404136618</v>
      </c>
      <c r="F6" s="10"/>
      <c r="H6" s="121"/>
    </row>
    <row r="7" spans="1:8" ht="16.5">
      <c r="A7" s="451" t="s">
        <v>111</v>
      </c>
      <c r="B7" s="448">
        <v>387</v>
      </c>
      <c r="C7" s="449">
        <f t="shared" ref="C7:C13" si="0">B7/$B$13*100</f>
        <v>1.1439212556530993</v>
      </c>
      <c r="D7" s="450">
        <v>367</v>
      </c>
      <c r="E7" s="201">
        <f t="shared" ref="E7:E12" si="1">D7/$D$13*100</f>
        <v>1.2484691794802014</v>
      </c>
      <c r="F7" s="10"/>
      <c r="H7" s="122"/>
    </row>
    <row r="8" spans="1:8" ht="16.5">
      <c r="A8" s="451" t="s">
        <v>112</v>
      </c>
      <c r="B8" s="448">
        <v>7959</v>
      </c>
      <c r="C8" s="449">
        <f t="shared" si="0"/>
        <v>23.525760397268776</v>
      </c>
      <c r="D8" s="450">
        <v>6985</v>
      </c>
      <c r="E8" s="201">
        <f t="shared" si="1"/>
        <v>23.76173629065179</v>
      </c>
      <c r="F8" s="10"/>
      <c r="H8" s="122"/>
    </row>
    <row r="9" spans="1:8" ht="16.5">
      <c r="A9" s="451" t="s">
        <v>113</v>
      </c>
      <c r="B9" s="448">
        <v>60</v>
      </c>
      <c r="C9" s="449">
        <f t="shared" si="0"/>
        <v>0.17735213265939523</v>
      </c>
      <c r="D9" s="450">
        <v>60</v>
      </c>
      <c r="E9" s="201">
        <f t="shared" si="1"/>
        <v>0.20410940263981495</v>
      </c>
      <c r="F9" s="10"/>
      <c r="H9" s="122"/>
    </row>
    <row r="10" spans="1:8" ht="16.5">
      <c r="A10" s="451" t="s">
        <v>114</v>
      </c>
      <c r="B10" s="448">
        <v>1413</v>
      </c>
      <c r="C10" s="449">
        <f t="shared" si="0"/>
        <v>4.1766427241287571</v>
      </c>
      <c r="D10" s="450">
        <v>1287</v>
      </c>
      <c r="E10" s="201">
        <f t="shared" si="1"/>
        <v>4.3781466866240306</v>
      </c>
      <c r="F10" s="10"/>
      <c r="H10" s="122"/>
    </row>
    <row r="11" spans="1:8" ht="16.5">
      <c r="A11" s="451" t="s">
        <v>115</v>
      </c>
      <c r="B11" s="448">
        <v>3549</v>
      </c>
      <c r="C11" s="449">
        <f t="shared" si="0"/>
        <v>10.490378646803228</v>
      </c>
      <c r="D11" s="450">
        <v>3231</v>
      </c>
      <c r="E11" s="201">
        <f t="shared" si="1"/>
        <v>10.991291332154034</v>
      </c>
      <c r="F11" s="10"/>
      <c r="H11" s="122"/>
    </row>
    <row r="12" spans="1:8" ht="16.5">
      <c r="A12" s="451" t="s">
        <v>116</v>
      </c>
      <c r="B12" s="448">
        <v>5145</v>
      </c>
      <c r="C12" s="449">
        <f t="shared" si="0"/>
        <v>15.207945375543142</v>
      </c>
      <c r="D12" s="450">
        <v>4265</v>
      </c>
      <c r="E12" s="201">
        <f t="shared" si="1"/>
        <v>14.508776704313512</v>
      </c>
      <c r="F12" s="10"/>
      <c r="H12" s="122"/>
    </row>
    <row r="13" spans="1:8" ht="16.5">
      <c r="A13" s="476" t="s">
        <v>117</v>
      </c>
      <c r="B13" s="702">
        <f>SUM(B6:B12)</f>
        <v>33831</v>
      </c>
      <c r="C13" s="477">
        <f t="shared" si="0"/>
        <v>100</v>
      </c>
      <c r="D13" s="702">
        <f>SUM(D6:D12)</f>
        <v>29396</v>
      </c>
      <c r="E13" s="444">
        <f>SUM(E6:E12)</f>
        <v>100</v>
      </c>
      <c r="F13" s="10"/>
      <c r="H13" s="123"/>
    </row>
    <row r="14" spans="1:8" ht="15.75">
      <c r="A14" s="253"/>
      <c r="B14" s="329"/>
      <c r="C14" s="328"/>
      <c r="D14" s="330"/>
      <c r="E14" s="10"/>
      <c r="F14" s="10"/>
      <c r="H14" s="119"/>
    </row>
    <row r="15" spans="1:8">
      <c r="A15" s="10"/>
      <c r="B15" s="308"/>
      <c r="C15" s="328"/>
      <c r="D15" s="148"/>
      <c r="E15" s="10"/>
      <c r="F15" s="10"/>
    </row>
    <row r="16" spans="1:8" ht="15.75">
      <c r="A16" s="331"/>
      <c r="B16" s="308"/>
      <c r="C16" s="328"/>
      <c r="D16" s="10"/>
      <c r="E16" s="10"/>
      <c r="F16" s="10"/>
    </row>
    <row r="17" spans="1:9" ht="15.75">
      <c r="A17" s="332"/>
      <c r="B17" s="308"/>
      <c r="C17" s="333"/>
      <c r="D17" s="334"/>
      <c r="E17" s="10"/>
      <c r="F17" s="10"/>
    </row>
    <row r="18" spans="1:9">
      <c r="A18" s="240"/>
      <c r="B18" s="64"/>
      <c r="C18" s="64"/>
      <c r="D18" s="335"/>
      <c r="E18" s="10"/>
      <c r="F18" s="10"/>
    </row>
    <row r="19" spans="1:9" s="124" customFormat="1" ht="33" customHeight="1">
      <c r="A19" s="473" t="s">
        <v>316</v>
      </c>
      <c r="B19" s="474" t="s">
        <v>319</v>
      </c>
      <c r="C19" s="442" t="s">
        <v>317</v>
      </c>
      <c r="D19" s="442" t="s">
        <v>318</v>
      </c>
      <c r="E19" s="475" t="s">
        <v>105</v>
      </c>
      <c r="F19" s="327"/>
    </row>
    <row r="20" spans="1:9" ht="18">
      <c r="A20" s="447" t="s">
        <v>110</v>
      </c>
      <c r="B20" s="452">
        <v>16488</v>
      </c>
      <c r="C20" s="201">
        <f t="shared" ref="C20:C27" si="2">B20/$B$27*100</f>
        <v>45.847120651780997</v>
      </c>
      <c r="D20" s="450">
        <v>14233</v>
      </c>
      <c r="E20" s="201">
        <f>D20/$D$27*100</f>
        <v>45.531030070377483</v>
      </c>
      <c r="F20" s="10"/>
      <c r="H20" s="126"/>
      <c r="I20" s="127"/>
    </row>
    <row r="21" spans="1:9" ht="18">
      <c r="A21" s="451" t="s">
        <v>111</v>
      </c>
      <c r="B21" s="452">
        <v>406</v>
      </c>
      <c r="C21" s="201">
        <f t="shared" si="2"/>
        <v>1.1289380752440008</v>
      </c>
      <c r="D21" s="450">
        <v>384</v>
      </c>
      <c r="E21" s="201">
        <f t="shared" ref="E21:E26" si="3">D21/$D$27*100</f>
        <v>1.2284069097888677</v>
      </c>
      <c r="F21" s="10"/>
      <c r="H21" s="126"/>
      <c r="I21" s="127"/>
    </row>
    <row r="22" spans="1:9" ht="18">
      <c r="A22" s="451" t="s">
        <v>112</v>
      </c>
      <c r="B22" s="452">
        <v>8277</v>
      </c>
      <c r="C22" s="201">
        <f t="shared" si="2"/>
        <v>23.015321302449738</v>
      </c>
      <c r="D22" s="450">
        <v>7267</v>
      </c>
      <c r="E22" s="201">
        <f t="shared" si="3"/>
        <v>23.246960972488804</v>
      </c>
      <c r="F22" s="10"/>
      <c r="H22" s="126"/>
      <c r="I22" s="127"/>
    </row>
    <row r="23" spans="1:9" ht="18">
      <c r="A23" s="451" t="s">
        <v>113</v>
      </c>
      <c r="B23" s="452">
        <v>60</v>
      </c>
      <c r="C23" s="201">
        <f t="shared" si="2"/>
        <v>0.16683813919862081</v>
      </c>
      <c r="D23" s="450">
        <v>60</v>
      </c>
      <c r="E23" s="201">
        <f t="shared" si="3"/>
        <v>0.19193857965451055</v>
      </c>
      <c r="F23" s="10"/>
      <c r="H23" s="126"/>
      <c r="I23" s="127"/>
    </row>
    <row r="24" spans="1:9" ht="18">
      <c r="A24" s="451" t="s">
        <v>114</v>
      </c>
      <c r="B24" s="452">
        <v>1569</v>
      </c>
      <c r="C24" s="201">
        <f t="shared" si="2"/>
        <v>4.3628173400439341</v>
      </c>
      <c r="D24" s="450">
        <v>1431</v>
      </c>
      <c r="E24" s="201">
        <f t="shared" si="3"/>
        <v>4.5777351247600766</v>
      </c>
      <c r="F24" s="10"/>
      <c r="H24" s="126"/>
      <c r="I24" s="127"/>
    </row>
    <row r="25" spans="1:9" ht="18">
      <c r="A25" s="451" t="s">
        <v>115</v>
      </c>
      <c r="B25" s="452">
        <v>3768</v>
      </c>
      <c r="C25" s="201">
        <f t="shared" si="2"/>
        <v>10.477435141673388</v>
      </c>
      <c r="D25" s="450">
        <v>3431</v>
      </c>
      <c r="E25" s="201">
        <f t="shared" si="3"/>
        <v>10.975687779910428</v>
      </c>
      <c r="F25" s="10"/>
      <c r="H25" s="126"/>
      <c r="I25" s="127"/>
    </row>
    <row r="26" spans="1:9" ht="18">
      <c r="A26" s="451" t="s">
        <v>116</v>
      </c>
      <c r="B26" s="452">
        <v>5395</v>
      </c>
      <c r="C26" s="201">
        <f t="shared" si="2"/>
        <v>15.001529349609321</v>
      </c>
      <c r="D26" s="450">
        <v>4454</v>
      </c>
      <c r="E26" s="201">
        <f t="shared" si="3"/>
        <v>14.248240563019834</v>
      </c>
      <c r="F26" s="10"/>
      <c r="H26" s="126"/>
      <c r="I26" s="127"/>
    </row>
    <row r="27" spans="1:9" ht="15.75">
      <c r="A27" s="476" t="s">
        <v>117</v>
      </c>
      <c r="B27" s="518">
        <f>SUM(B20:B26)</f>
        <v>35963</v>
      </c>
      <c r="C27" s="444">
        <f t="shared" si="2"/>
        <v>100</v>
      </c>
      <c r="D27" s="703">
        <f>SUM(D20:D26)</f>
        <v>31260</v>
      </c>
      <c r="E27" s="444">
        <f>SUM(E20:E26)</f>
        <v>100</v>
      </c>
      <c r="F27" s="10"/>
      <c r="H27" s="126"/>
      <c r="I27" s="128"/>
    </row>
    <row r="28" spans="1:9" ht="15.75">
      <c r="A28" s="125"/>
      <c r="B28" s="239"/>
      <c r="C28" s="336"/>
      <c r="D28" s="337"/>
      <c r="E28" s="10"/>
      <c r="F28" s="10"/>
      <c r="H28" s="126"/>
      <c r="I28" s="126"/>
    </row>
    <row r="29" spans="1:9" ht="15.75">
      <c r="A29" s="33"/>
      <c r="B29" s="308"/>
      <c r="C29" s="336"/>
      <c r="D29" s="10"/>
      <c r="E29" s="10"/>
      <c r="F29" s="10"/>
    </row>
    <row r="30" spans="1:9" ht="18">
      <c r="A30" s="75" t="s">
        <v>109</v>
      </c>
      <c r="B30" s="130"/>
      <c r="C30" s="129"/>
    </row>
  </sheetData>
  <customSheetViews>
    <customSheetView guid="{00BB8FC3-0B7F-4485-B1CD-FF164EC3970C}" fitToPage="1">
      <selection activeCell="D31" sqref="D31"/>
      <pageMargins left="0.7" right="0.7" top="0.78740157499999996" bottom="0.78740157499999996" header="0.3" footer="0.3"/>
      <pageSetup paperSize="9" orientation="portrait" r:id="rId1"/>
    </customSheetView>
    <customSheetView guid="{5DDDE19F-F10F-4514-A83C-F71CDD7BE512}" fitToPage="1">
      <selection activeCell="D31" sqref="D31"/>
      <pageMargins left="0.7" right="0.7" top="0.78740157499999996" bottom="0.78740157499999996" header="0.3" footer="0.3"/>
      <pageSetup paperSize="9" orientation="portrait" r:id="rId2"/>
    </customSheetView>
    <customSheetView guid="{9A6D0F5E-68D7-4772-8712-9975EE0A4B2C}" fitToPage="1">
      <selection activeCell="D31" sqref="D31"/>
      <pageMargins left="0.7" right="0.7" top="0.78740157499999996" bottom="0.78740157499999996" header="0.3" footer="0.3"/>
      <pageSetup paperSize="9" orientation="portrait" r:id="rId3"/>
    </customSheetView>
  </customSheetViews>
  <pageMargins left="0.7" right="0.7" top="0.78740157499999996" bottom="0.78740157499999996" header="0.3" footer="0.3"/>
  <pageSetup paperSize="9" orientation="portrait"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3"/>
  <sheetViews>
    <sheetView topLeftCell="A2" zoomScaleNormal="100" workbookViewId="0">
      <selection activeCell="G8" sqref="G8"/>
    </sheetView>
  </sheetViews>
  <sheetFormatPr baseColWidth="10" defaultRowHeight="15"/>
  <cols>
    <col min="1" max="1" width="28.7109375" customWidth="1"/>
    <col min="2" max="5" width="16.85546875" customWidth="1"/>
    <col min="8" max="8" width="9.140625" style="2"/>
  </cols>
  <sheetData>
    <row r="1" spans="1:8" s="130" customFormat="1" ht="39.950000000000003" customHeight="1">
      <c r="A1" s="660" t="s">
        <v>121</v>
      </c>
      <c r="B1" s="660"/>
      <c r="C1" s="386"/>
      <c r="D1" s="386"/>
      <c r="E1" s="386"/>
      <c r="F1" s="386"/>
      <c r="G1" s="79"/>
      <c r="H1" s="78"/>
    </row>
    <row r="2" spans="1:8" ht="15.75">
      <c r="A2" s="271"/>
      <c r="B2" s="10"/>
      <c r="C2" s="10"/>
      <c r="D2" s="148"/>
      <c r="E2" s="10"/>
      <c r="F2" s="21"/>
      <c r="G2" s="21"/>
    </row>
    <row r="3" spans="1:8" ht="17.25">
      <c r="A3" s="271" t="s">
        <v>611</v>
      </c>
      <c r="B3" s="10"/>
      <c r="C3" s="10"/>
      <c r="D3" s="148"/>
      <c r="E3" s="10"/>
      <c r="F3" s="21"/>
      <c r="G3" s="21"/>
    </row>
    <row r="4" spans="1:8" ht="15.75">
      <c r="A4" s="271" t="s">
        <v>122</v>
      </c>
      <c r="B4" s="10"/>
      <c r="C4" s="10"/>
      <c r="D4" s="148"/>
      <c r="E4" s="10"/>
      <c r="F4" s="21"/>
      <c r="G4" s="21"/>
    </row>
    <row r="5" spans="1:8" ht="15.75">
      <c r="A5" s="148" t="s">
        <v>123</v>
      </c>
      <c r="B5" s="148"/>
      <c r="C5" s="10"/>
      <c r="D5" s="148"/>
      <c r="E5" s="10"/>
      <c r="F5" s="21"/>
      <c r="G5" s="21"/>
    </row>
    <row r="6" spans="1:8" ht="18">
      <c r="A6" s="453" t="s">
        <v>124</v>
      </c>
      <c r="B6" s="829"/>
      <c r="C6" s="829"/>
      <c r="D6" s="829"/>
      <c r="E6" s="829"/>
      <c r="G6" s="42"/>
    </row>
    <row r="7" spans="1:8" ht="18">
      <c r="A7" s="148"/>
      <c r="B7" s="442">
        <v>2022</v>
      </c>
      <c r="C7" s="541">
        <v>2023</v>
      </c>
      <c r="D7" s="570">
        <v>2022</v>
      </c>
      <c r="E7" s="541">
        <v>2023</v>
      </c>
      <c r="G7" s="43"/>
    </row>
    <row r="8" spans="1:8" ht="18">
      <c r="A8" s="10"/>
      <c r="B8" s="339"/>
      <c r="C8" s="339"/>
      <c r="D8" s="339"/>
      <c r="E8" s="33"/>
      <c r="G8" s="30"/>
    </row>
    <row r="9" spans="1:8" ht="18">
      <c r="A9" s="340" t="s">
        <v>126</v>
      </c>
      <c r="B9" s="826" t="s">
        <v>127</v>
      </c>
      <c r="C9" s="826"/>
      <c r="D9" s="827" t="s">
        <v>125</v>
      </c>
      <c r="E9" s="827"/>
      <c r="G9" s="31"/>
    </row>
    <row r="10" spans="1:8" ht="18">
      <c r="A10" s="12" t="s">
        <v>110</v>
      </c>
      <c r="B10" s="245">
        <v>3542</v>
      </c>
      <c r="C10" s="464">
        <v>3513</v>
      </c>
      <c r="D10" s="245">
        <v>35830</v>
      </c>
      <c r="E10" s="464">
        <v>35299</v>
      </c>
      <c r="G10" s="44"/>
    </row>
    <row r="11" spans="1:8" ht="18">
      <c r="A11" s="12" t="s">
        <v>111</v>
      </c>
      <c r="B11" s="245">
        <v>364</v>
      </c>
      <c r="C11" s="464">
        <v>348</v>
      </c>
      <c r="D11" s="245">
        <v>29912</v>
      </c>
      <c r="E11" s="464">
        <v>30054</v>
      </c>
      <c r="G11" s="44"/>
    </row>
    <row r="12" spans="1:8" ht="18">
      <c r="A12" s="12" t="s">
        <v>112</v>
      </c>
      <c r="B12" s="245">
        <v>2717</v>
      </c>
      <c r="C12" s="464">
        <v>2671</v>
      </c>
      <c r="D12" s="245">
        <v>21037</v>
      </c>
      <c r="E12" s="464">
        <v>20949</v>
      </c>
      <c r="G12" s="44"/>
    </row>
    <row r="13" spans="1:8" ht="18">
      <c r="A13" s="12" t="s">
        <v>128</v>
      </c>
      <c r="B13" s="245">
        <v>309</v>
      </c>
      <c r="C13" s="464">
        <v>302</v>
      </c>
      <c r="D13" s="245">
        <v>4196</v>
      </c>
      <c r="E13" s="464">
        <v>4231</v>
      </c>
      <c r="G13" s="44"/>
    </row>
    <row r="14" spans="1:8" ht="18">
      <c r="A14" s="12" t="s">
        <v>114</v>
      </c>
      <c r="B14" s="245">
        <v>636</v>
      </c>
      <c r="C14" s="464">
        <v>638</v>
      </c>
      <c r="D14" s="245">
        <v>8315</v>
      </c>
      <c r="E14" s="464">
        <v>8462</v>
      </c>
      <c r="G14" s="44"/>
    </row>
    <row r="15" spans="1:8" ht="18">
      <c r="A15" s="12" t="s">
        <v>129</v>
      </c>
      <c r="B15" s="245">
        <v>1998</v>
      </c>
      <c r="C15" s="464">
        <v>1986</v>
      </c>
      <c r="D15" s="245">
        <v>15042</v>
      </c>
      <c r="E15" s="464">
        <v>15563</v>
      </c>
      <c r="G15" s="44"/>
    </row>
    <row r="16" spans="1:8" ht="18">
      <c r="A16" s="12" t="s">
        <v>130</v>
      </c>
      <c r="B16" s="245">
        <v>1058</v>
      </c>
      <c r="C16" s="464">
        <v>1072</v>
      </c>
      <c r="D16" s="245">
        <v>5947</v>
      </c>
      <c r="E16" s="464">
        <v>6001</v>
      </c>
      <c r="G16" s="45"/>
    </row>
    <row r="17" spans="1:8" ht="18">
      <c r="A17" s="266" t="s">
        <v>47</v>
      </c>
      <c r="B17" s="245">
        <v>10623</v>
      </c>
      <c r="C17" s="464">
        <f>SUM(C10:C16)</f>
        <v>10530</v>
      </c>
      <c r="D17" s="245">
        <f>SUM(D10:D16)</f>
        <v>120279</v>
      </c>
      <c r="E17" s="464">
        <f>SUM(E10:E16)</f>
        <v>120559</v>
      </c>
      <c r="G17" s="44"/>
    </row>
    <row r="18" spans="1:8" ht="25.5" customHeight="1">
      <c r="A18" s="12"/>
      <c r="B18" s="280"/>
      <c r="C18" s="341"/>
      <c r="D18" s="268"/>
      <c r="E18" s="268"/>
      <c r="F18" s="21"/>
      <c r="G18" s="21"/>
    </row>
    <row r="19" spans="1:8" ht="39" customHeight="1">
      <c r="A19" s="326" t="s">
        <v>685</v>
      </c>
      <c r="B19" s="342" t="s">
        <v>132</v>
      </c>
      <c r="C19" s="343" t="s">
        <v>131</v>
      </c>
      <c r="D19" s="344"/>
      <c r="E19" s="344"/>
      <c r="G19" s="46"/>
    </row>
    <row r="20" spans="1:8" ht="15.75">
      <c r="A20" s="12"/>
      <c r="B20" s="269"/>
      <c r="C20" s="341"/>
      <c r="D20" s="268"/>
      <c r="E20" s="10"/>
      <c r="G20" s="21"/>
    </row>
    <row r="21" spans="1:8" ht="15.75">
      <c r="A21" s="12" t="s">
        <v>110</v>
      </c>
      <c r="B21" s="341">
        <v>19796</v>
      </c>
      <c r="C21" s="341">
        <v>13065</v>
      </c>
      <c r="D21" s="346"/>
      <c r="E21" s="149"/>
      <c r="G21" s="27"/>
    </row>
    <row r="22" spans="1:8" ht="15.75">
      <c r="A22" s="12" t="s">
        <v>111</v>
      </c>
      <c r="B22" s="341">
        <v>11301</v>
      </c>
      <c r="C22" s="341">
        <v>17315</v>
      </c>
      <c r="D22" s="346"/>
      <c r="E22" s="149"/>
      <c r="G22" s="27"/>
    </row>
    <row r="23" spans="1:8" ht="15.75">
      <c r="A23" s="12" t="s">
        <v>112</v>
      </c>
      <c r="B23" s="341">
        <v>4354</v>
      </c>
      <c r="C23" s="341">
        <v>15543</v>
      </c>
      <c r="D23" s="346"/>
      <c r="E23" s="149"/>
      <c r="G23" s="27"/>
    </row>
    <row r="24" spans="1:8" ht="15.75">
      <c r="A24" s="12" t="s">
        <v>128</v>
      </c>
      <c r="B24" s="341">
        <v>127</v>
      </c>
      <c r="C24" s="341">
        <v>4021</v>
      </c>
      <c r="D24" s="346"/>
      <c r="E24" s="149"/>
      <c r="G24" s="27"/>
    </row>
    <row r="25" spans="1:8" ht="15.75">
      <c r="A25" s="12" t="s">
        <v>114</v>
      </c>
      <c r="B25" s="341">
        <v>4632</v>
      </c>
      <c r="C25" s="341">
        <v>3646</v>
      </c>
      <c r="D25" s="346"/>
      <c r="E25" s="149"/>
      <c r="G25" s="27"/>
    </row>
    <row r="26" spans="1:8" ht="15.75">
      <c r="A26" s="12" t="s">
        <v>129</v>
      </c>
      <c r="B26" s="341">
        <v>10500</v>
      </c>
      <c r="C26" s="341">
        <v>4616</v>
      </c>
      <c r="D26" s="346"/>
      <c r="E26" s="149"/>
      <c r="G26" s="27"/>
    </row>
    <row r="27" spans="1:8" ht="15.75">
      <c r="A27" s="12" t="s">
        <v>130</v>
      </c>
      <c r="B27" s="341">
        <v>946</v>
      </c>
      <c r="C27" s="341">
        <v>4915</v>
      </c>
      <c r="D27" s="346"/>
      <c r="E27" s="149"/>
      <c r="G27" s="27"/>
    </row>
    <row r="28" spans="1:8" s="160" customFormat="1" ht="15.75">
      <c r="A28" s="12"/>
      <c r="B28" s="345"/>
      <c r="C28" s="345"/>
      <c r="D28" s="346"/>
      <c r="E28" s="149"/>
      <c r="G28" s="27"/>
      <c r="H28" s="2"/>
    </row>
    <row r="29" spans="1:8" ht="18" customHeight="1">
      <c r="A29" s="828" t="s">
        <v>650</v>
      </c>
      <c r="B29" s="828"/>
      <c r="C29" s="828"/>
      <c r="D29" s="149"/>
      <c r="E29" s="149"/>
      <c r="F29" s="6"/>
      <c r="G29" s="27"/>
    </row>
    <row r="30" spans="1:8" s="160" customFormat="1" ht="18" customHeight="1">
      <c r="A30" s="661" t="s">
        <v>651</v>
      </c>
      <c r="B30" s="662"/>
      <c r="C30" s="662"/>
      <c r="D30" s="149"/>
      <c r="E30" s="149"/>
      <c r="F30" s="6"/>
      <c r="G30" s="27"/>
      <c r="H30" s="2"/>
    </row>
    <row r="31" spans="1:8" s="160" customFormat="1" ht="18" customHeight="1">
      <c r="A31" s="663"/>
      <c r="B31" s="662"/>
      <c r="C31" s="662"/>
      <c r="D31" s="149"/>
      <c r="E31" s="149"/>
      <c r="F31" s="6"/>
      <c r="G31" s="27"/>
      <c r="H31" s="2"/>
    </row>
    <row r="32" spans="1:8">
      <c r="A32" s="350" t="s">
        <v>133</v>
      </c>
      <c r="B32" s="75"/>
      <c r="C32" s="75"/>
      <c r="D32" s="10"/>
      <c r="E32" s="10"/>
    </row>
    <row r="33" spans="1:5">
      <c r="A33" s="10"/>
      <c r="B33" s="10"/>
      <c r="C33" s="10"/>
      <c r="D33" s="10"/>
      <c r="E33" s="10"/>
    </row>
  </sheetData>
  <customSheetViews>
    <customSheetView guid="{00BB8FC3-0B7F-4485-B1CD-FF164EC3970C}" fitToPage="1" topLeftCell="A7">
      <selection activeCell="C36" sqref="C36"/>
      <pageMargins left="0.70866141732283472" right="0.70866141732283472" top="0.78740157480314965" bottom="0.78740157480314965" header="0.31496062992125984" footer="0.31496062992125984"/>
      <pageSetup paperSize="9" scale="85" orientation="portrait" cellComments="asDisplayed" r:id="rId1"/>
    </customSheetView>
    <customSheetView guid="{5DDDE19F-F10F-4514-A83C-F71CDD7BE512}" fitToPage="1" topLeftCell="A7">
      <selection activeCell="C36" sqref="C36"/>
      <pageMargins left="0.70866141732283472" right="0.70866141732283472" top="0.78740157480314965" bottom="0.78740157480314965" header="0.31496062992125984" footer="0.31496062992125984"/>
      <pageSetup paperSize="9" scale="85" orientation="portrait" cellComments="asDisplayed" r:id="rId2"/>
    </customSheetView>
    <customSheetView guid="{9A6D0F5E-68D7-4772-8712-9975EE0A4B2C}" fitToPage="1" topLeftCell="A7">
      <selection activeCell="C36" sqref="C36"/>
      <pageMargins left="0.70866141732283472" right="0.70866141732283472" top="0.78740157480314965" bottom="0.78740157480314965" header="0.31496062992125984" footer="0.31496062992125984"/>
      <pageSetup paperSize="9" scale="85" orientation="portrait" cellComments="asDisplayed" r:id="rId3"/>
    </customSheetView>
  </customSheetViews>
  <mergeCells count="5">
    <mergeCell ref="B9:C9"/>
    <mergeCell ref="D9:E9"/>
    <mergeCell ref="A29:C29"/>
    <mergeCell ref="B6:C6"/>
    <mergeCell ref="D6:E6"/>
  </mergeCells>
  <pageMargins left="0.70866141732283472" right="0.70866141732283472" top="0.78740157480314965" bottom="0.78740157480314965" header="0.31496062992125984" footer="0.31496062992125984"/>
  <pageSetup paperSize="9" scale="85" orientation="portrait" cellComments="asDisplayed" r:id="rId4"/>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35"/>
  <sheetViews>
    <sheetView workbookViewId="0">
      <selection activeCell="H21" sqref="H21"/>
    </sheetView>
  </sheetViews>
  <sheetFormatPr baseColWidth="10" defaultRowHeight="15"/>
  <cols>
    <col min="1" max="1" width="29.140625" customWidth="1"/>
    <col min="2" max="7" width="9.7109375" customWidth="1"/>
    <col min="8" max="8" width="36.28515625" customWidth="1"/>
    <col min="9" max="9" width="21" customWidth="1"/>
  </cols>
  <sheetData>
    <row r="1" spans="1:11" s="67" customFormat="1" ht="39.950000000000003" customHeight="1">
      <c r="A1" s="728" t="s">
        <v>739</v>
      </c>
      <c r="B1" s="728"/>
      <c r="C1" s="728"/>
      <c r="D1" s="728"/>
      <c r="E1" s="660"/>
      <c r="F1" s="384"/>
      <c r="G1" s="384"/>
      <c r="H1" s="384"/>
      <c r="I1" s="347"/>
      <c r="J1" s="347"/>
    </row>
    <row r="2" spans="1:11" s="67" customFormat="1">
      <c r="A2" s="830" t="s">
        <v>0</v>
      </c>
      <c r="B2" s="831"/>
      <c r="C2" s="831"/>
      <c r="D2" s="831"/>
      <c r="E2" s="831"/>
      <c r="F2" s="347"/>
      <c r="G2" s="347"/>
      <c r="H2" s="637"/>
      <c r="I2" s="637" t="s">
        <v>748</v>
      </c>
      <c r="J2" s="637"/>
      <c r="K2" s="637"/>
    </row>
    <row r="3" spans="1:11" ht="20.100000000000001" customHeight="1">
      <c r="A3" s="10"/>
      <c r="B3" s="10"/>
      <c r="C3" s="10"/>
      <c r="D3" s="10"/>
      <c r="E3" s="10"/>
      <c r="F3" s="10"/>
      <c r="G3" s="10"/>
      <c r="H3" s="760"/>
      <c r="I3" s="761" t="s">
        <v>395</v>
      </c>
      <c r="J3" s="638"/>
      <c r="K3" s="638"/>
    </row>
    <row r="4" spans="1:11" ht="20.100000000000001" customHeight="1">
      <c r="A4" s="10"/>
      <c r="B4" s="10"/>
      <c r="C4" s="10"/>
      <c r="D4" s="10"/>
      <c r="E4" s="10"/>
      <c r="F4" s="10"/>
      <c r="G4" s="10"/>
      <c r="H4" s="760" t="s">
        <v>110</v>
      </c>
      <c r="I4" s="759">
        <v>0.44900000000000001</v>
      </c>
      <c r="J4" s="638"/>
      <c r="K4" s="638"/>
    </row>
    <row r="5" spans="1:11" ht="20.100000000000001" customHeight="1">
      <c r="A5" s="10"/>
      <c r="B5" s="10"/>
      <c r="C5" s="10"/>
      <c r="D5" s="10"/>
      <c r="E5" s="10"/>
      <c r="F5" s="10"/>
      <c r="G5" s="10"/>
      <c r="H5" s="760" t="s">
        <v>111</v>
      </c>
      <c r="I5" s="759">
        <v>1.2E-2</v>
      </c>
      <c r="J5" s="638"/>
      <c r="K5" s="638"/>
    </row>
    <row r="6" spans="1:11" ht="20.100000000000001" customHeight="1">
      <c r="A6" s="10"/>
      <c r="B6" s="10"/>
      <c r="C6" s="10"/>
      <c r="D6" s="10"/>
      <c r="E6" s="10"/>
      <c r="F6" s="10"/>
      <c r="G6" s="10"/>
      <c r="H6" s="760" t="s">
        <v>112</v>
      </c>
      <c r="I6" s="759">
        <v>0.23799999999999999</v>
      </c>
      <c r="J6" s="638"/>
      <c r="K6" s="638"/>
    </row>
    <row r="7" spans="1:11" ht="20.100000000000001" customHeight="1">
      <c r="A7" s="10"/>
      <c r="B7" s="10"/>
      <c r="C7" s="10"/>
      <c r="D7" s="10"/>
      <c r="E7" s="10"/>
      <c r="F7" s="10"/>
      <c r="G7" s="10"/>
      <c r="H7" s="760" t="s">
        <v>113</v>
      </c>
      <c r="I7" s="759">
        <v>2E-3</v>
      </c>
      <c r="J7" s="638"/>
      <c r="K7" s="638"/>
    </row>
    <row r="8" spans="1:11" ht="20.100000000000001" customHeight="1">
      <c r="A8" s="10"/>
      <c r="B8" s="10"/>
      <c r="C8" s="10"/>
      <c r="D8" s="10"/>
      <c r="E8" s="10"/>
      <c r="F8" s="10"/>
      <c r="G8" s="10"/>
      <c r="H8" s="760" t="s">
        <v>114</v>
      </c>
      <c r="I8" s="759">
        <v>4.3999999999999997E-2</v>
      </c>
      <c r="J8" s="638"/>
      <c r="K8" s="638"/>
    </row>
    <row r="9" spans="1:11" ht="20.100000000000001" customHeight="1">
      <c r="A9" s="10"/>
      <c r="B9" s="10"/>
      <c r="C9" s="10"/>
      <c r="D9" s="10"/>
      <c r="E9" s="10"/>
      <c r="F9" s="10"/>
      <c r="G9" s="10"/>
      <c r="H9" s="760" t="s">
        <v>115</v>
      </c>
      <c r="I9" s="759">
        <v>0.11</v>
      </c>
      <c r="J9" s="638"/>
      <c r="K9" s="638"/>
    </row>
    <row r="10" spans="1:11" ht="20.100000000000001" customHeight="1">
      <c r="A10" s="10"/>
      <c r="B10" s="10"/>
      <c r="C10" s="10"/>
      <c r="D10" s="10"/>
      <c r="E10" s="10"/>
      <c r="F10" s="10"/>
      <c r="G10" s="10"/>
      <c r="H10" s="760" t="s">
        <v>116</v>
      </c>
      <c r="I10" s="759">
        <v>0.14499999999999999</v>
      </c>
      <c r="J10" s="638"/>
      <c r="K10" s="638"/>
    </row>
    <row r="11" spans="1:11" ht="20.100000000000001" customHeight="1">
      <c r="A11" s="10"/>
      <c r="B11" s="10"/>
      <c r="C11" s="10"/>
      <c r="D11" s="10"/>
      <c r="E11" s="10"/>
      <c r="F11" s="10"/>
      <c r="G11" s="10"/>
      <c r="H11" s="638"/>
      <c r="I11" s="759">
        <f>SUM(I4:I10)</f>
        <v>1</v>
      </c>
      <c r="J11" s="638"/>
      <c r="K11" s="638"/>
    </row>
    <row r="12" spans="1:11" ht="20.100000000000001" customHeight="1">
      <c r="A12" s="10"/>
      <c r="B12" s="10"/>
      <c r="C12" s="10"/>
      <c r="D12" s="10"/>
      <c r="E12" s="10"/>
      <c r="F12" s="10"/>
      <c r="G12" s="10"/>
      <c r="H12" s="10"/>
      <c r="I12" s="10"/>
      <c r="J12" s="10"/>
    </row>
    <row r="13" spans="1:11" ht="20.100000000000001" customHeight="1">
      <c r="A13" s="10"/>
      <c r="B13" s="10"/>
      <c r="C13" s="10"/>
      <c r="D13" s="10"/>
      <c r="E13" s="10"/>
      <c r="F13" s="10"/>
      <c r="G13" s="10"/>
      <c r="H13" s="10"/>
      <c r="I13" s="10"/>
      <c r="J13" s="10"/>
    </row>
    <row r="14" spans="1:11" ht="20.100000000000001" customHeight="1">
      <c r="A14" s="10"/>
      <c r="B14" s="10"/>
      <c r="C14" s="10"/>
      <c r="D14" s="10"/>
      <c r="E14" s="10"/>
      <c r="F14" s="10"/>
      <c r="G14" s="10"/>
      <c r="H14" s="10"/>
      <c r="I14" s="10"/>
      <c r="J14" s="10"/>
    </row>
    <row r="15" spans="1:11" ht="20.100000000000001" customHeight="1">
      <c r="A15" s="10"/>
      <c r="B15" s="10"/>
      <c r="C15" s="10"/>
      <c r="D15" s="10"/>
      <c r="E15" s="10"/>
      <c r="F15" s="10"/>
      <c r="G15" s="10"/>
      <c r="H15" s="10"/>
      <c r="I15" s="10"/>
      <c r="J15" s="10"/>
    </row>
    <row r="16" spans="1:11" ht="20.100000000000001" customHeight="1">
      <c r="A16" s="10"/>
      <c r="B16" s="10"/>
      <c r="C16" s="10"/>
      <c r="D16" s="10"/>
      <c r="E16" s="10"/>
      <c r="F16" s="10"/>
      <c r="G16" s="10"/>
      <c r="H16" s="10"/>
      <c r="I16" s="10"/>
      <c r="J16" s="10"/>
    </row>
    <row r="17" spans="1:10" ht="20.100000000000001" customHeight="1">
      <c r="A17" s="10"/>
      <c r="B17" s="10"/>
      <c r="C17" s="10"/>
      <c r="D17" s="10"/>
      <c r="E17" s="10"/>
      <c r="F17" s="10"/>
      <c r="G17" s="10"/>
      <c r="H17" s="10"/>
      <c r="I17" s="10"/>
      <c r="J17" s="10"/>
    </row>
    <row r="18" spans="1:10" ht="20.100000000000001" customHeight="1">
      <c r="A18" s="10"/>
      <c r="B18" s="10"/>
      <c r="C18" s="10"/>
      <c r="D18" s="10"/>
      <c r="E18" s="10"/>
      <c r="F18" s="10"/>
      <c r="G18" s="10"/>
      <c r="H18" s="10"/>
      <c r="I18" s="10"/>
      <c r="J18" s="10"/>
    </row>
    <row r="19" spans="1:10" ht="20.100000000000001" customHeight="1">
      <c r="A19" s="10"/>
      <c r="B19" s="10"/>
      <c r="C19" s="10"/>
      <c r="D19" s="10"/>
      <c r="E19" s="10"/>
      <c r="F19" s="10"/>
      <c r="G19" s="10"/>
      <c r="H19" s="10"/>
      <c r="I19" s="10"/>
      <c r="J19" s="10"/>
    </row>
    <row r="20" spans="1:10" ht="20.100000000000001" customHeight="1">
      <c r="A20" s="10"/>
      <c r="B20" s="10"/>
      <c r="C20" s="10"/>
      <c r="D20" s="10"/>
      <c r="E20" s="10"/>
      <c r="F20" s="10"/>
      <c r="G20" s="10"/>
      <c r="H20" s="10"/>
      <c r="I20" s="10"/>
      <c r="J20" s="10"/>
    </row>
    <row r="21" spans="1:10" ht="20.100000000000001" customHeight="1">
      <c r="D21" s="10"/>
      <c r="E21" s="10"/>
      <c r="F21" s="10"/>
      <c r="G21" s="348"/>
      <c r="H21" s="748" t="s">
        <v>297</v>
      </c>
      <c r="I21" s="638"/>
      <c r="J21" s="10"/>
    </row>
    <row r="22" spans="1:10" ht="20.100000000000001" customHeight="1">
      <c r="D22" s="10"/>
      <c r="E22" s="10"/>
      <c r="F22" s="10"/>
      <c r="G22" s="10"/>
      <c r="H22" s="638" t="s">
        <v>680</v>
      </c>
      <c r="I22" s="638"/>
      <c r="J22" s="107"/>
    </row>
    <row r="23" spans="1:10" ht="20.100000000000001" customHeight="1">
      <c r="D23" s="10"/>
      <c r="E23" s="10"/>
      <c r="F23" s="10"/>
      <c r="G23" s="10"/>
      <c r="H23" s="638"/>
      <c r="I23" s="638"/>
      <c r="J23" s="107"/>
    </row>
    <row r="24" spans="1:10" s="160" customFormat="1" ht="20.100000000000001" customHeight="1">
      <c r="D24" s="10"/>
      <c r="E24" s="10"/>
      <c r="F24" s="10"/>
      <c r="G24" s="10"/>
      <c r="H24" s="638" t="s">
        <v>110</v>
      </c>
      <c r="I24" s="749">
        <v>35299</v>
      </c>
      <c r="J24" s="150"/>
    </row>
    <row r="25" spans="1:10">
      <c r="D25" s="10"/>
      <c r="E25" s="10"/>
      <c r="F25" s="10"/>
      <c r="G25" s="10"/>
      <c r="H25" s="638" t="s">
        <v>111</v>
      </c>
      <c r="I25" s="749">
        <v>30054</v>
      </c>
      <c r="J25" s="150"/>
    </row>
    <row r="26" spans="1:10">
      <c r="D26" s="10"/>
      <c r="E26" s="10"/>
      <c r="F26" s="10"/>
      <c r="G26" s="10"/>
      <c r="H26" s="638" t="s">
        <v>112</v>
      </c>
      <c r="I26" s="749">
        <v>20949</v>
      </c>
      <c r="J26" s="150"/>
    </row>
    <row r="27" spans="1:10">
      <c r="D27" s="10"/>
      <c r="E27" s="10"/>
      <c r="F27" s="10"/>
      <c r="G27" s="10"/>
      <c r="H27" s="638" t="s">
        <v>113</v>
      </c>
      <c r="I27" s="749">
        <v>4231</v>
      </c>
      <c r="J27" s="150"/>
    </row>
    <row r="28" spans="1:10">
      <c r="D28" s="10"/>
      <c r="E28" s="10"/>
      <c r="F28" s="10"/>
      <c r="G28" s="10"/>
      <c r="H28" s="638" t="s">
        <v>114</v>
      </c>
      <c r="I28" s="749">
        <v>8462</v>
      </c>
      <c r="J28" s="150"/>
    </row>
    <row r="29" spans="1:10">
      <c r="D29" s="10"/>
      <c r="E29" s="10"/>
      <c r="F29" s="10"/>
      <c r="G29" s="10"/>
      <c r="H29" s="638" t="s">
        <v>115</v>
      </c>
      <c r="I29" s="749">
        <v>15563</v>
      </c>
      <c r="J29" s="150"/>
    </row>
    <row r="30" spans="1:10">
      <c r="D30" s="10"/>
      <c r="E30" s="10"/>
      <c r="F30" s="10"/>
      <c r="G30" s="10"/>
      <c r="H30" s="638" t="s">
        <v>116</v>
      </c>
      <c r="I30" s="749">
        <v>6001</v>
      </c>
      <c r="J30" s="150"/>
    </row>
    <row r="31" spans="1:10">
      <c r="D31" s="10"/>
      <c r="E31" s="10"/>
      <c r="F31" s="10"/>
      <c r="G31" s="10"/>
      <c r="H31" s="638"/>
      <c r="I31" s="751">
        <f>SUM(I24:I30)</f>
        <v>120559</v>
      </c>
      <c r="J31" s="150"/>
    </row>
    <row r="32" spans="1:10">
      <c r="D32" s="10"/>
      <c r="E32" s="10"/>
      <c r="F32" s="10"/>
      <c r="G32" s="10"/>
      <c r="H32" s="638"/>
      <c r="I32" s="638"/>
      <c r="J32" s="107"/>
    </row>
    <row r="33" spans="1:10">
      <c r="D33" s="10"/>
      <c r="E33" s="10"/>
      <c r="F33" s="10"/>
      <c r="G33" s="10"/>
      <c r="H33" s="638" t="s">
        <v>110</v>
      </c>
      <c r="I33" s="759">
        <f t="shared" ref="I33:I39" si="0">I24/$I$31</f>
        <v>0.29279439942268931</v>
      </c>
      <c r="J33" s="107"/>
    </row>
    <row r="34" spans="1:10">
      <c r="D34" s="10"/>
      <c r="E34" s="10"/>
      <c r="F34" s="10"/>
      <c r="G34" s="10"/>
      <c r="H34" s="638" t="s">
        <v>111</v>
      </c>
      <c r="I34" s="759">
        <f t="shared" si="0"/>
        <v>0.24928872999941937</v>
      </c>
      <c r="J34" s="107"/>
    </row>
    <row r="35" spans="1:10">
      <c r="D35" s="10"/>
      <c r="E35" s="10"/>
      <c r="F35" s="10"/>
      <c r="G35" s="10"/>
      <c r="H35" s="638" t="s">
        <v>112</v>
      </c>
      <c r="I35" s="759">
        <f t="shared" si="0"/>
        <v>0.17376554218266574</v>
      </c>
      <c r="J35" s="107"/>
    </row>
    <row r="36" spans="1:10">
      <c r="D36" s="10"/>
      <c r="E36" s="10"/>
      <c r="F36" s="10"/>
      <c r="G36" s="10"/>
      <c r="H36" s="638" t="s">
        <v>113</v>
      </c>
      <c r="I36" s="759">
        <f t="shared" si="0"/>
        <v>3.5094849824567224E-2</v>
      </c>
      <c r="J36" s="107"/>
    </row>
    <row r="37" spans="1:10">
      <c r="D37" s="10"/>
      <c r="E37" s="10"/>
      <c r="F37" s="10"/>
      <c r="G37" s="10"/>
      <c r="H37" s="638" t="s">
        <v>114</v>
      </c>
      <c r="I37" s="759">
        <f t="shared" si="0"/>
        <v>7.0189699649134449E-2</v>
      </c>
      <c r="J37" s="107"/>
    </row>
    <row r="38" spans="1:10">
      <c r="D38" s="10"/>
      <c r="E38" s="10"/>
      <c r="F38" s="10"/>
      <c r="G38" s="10"/>
      <c r="H38" s="638" t="s">
        <v>115</v>
      </c>
      <c r="I38" s="759">
        <f t="shared" si="0"/>
        <v>0.12909032092170639</v>
      </c>
      <c r="J38" s="107"/>
    </row>
    <row r="39" spans="1:10">
      <c r="D39" s="10"/>
      <c r="E39" s="10"/>
      <c r="F39" s="10"/>
      <c r="G39" s="10"/>
      <c r="H39" s="638" t="s">
        <v>116</v>
      </c>
      <c r="I39" s="759">
        <f t="shared" si="0"/>
        <v>4.9776457999817517E-2</v>
      </c>
      <c r="J39" s="107"/>
    </row>
    <row r="40" spans="1:10">
      <c r="A40" s="10"/>
      <c r="B40" s="10"/>
      <c r="C40" s="10"/>
      <c r="D40" s="10"/>
      <c r="E40" s="10"/>
      <c r="F40" s="10"/>
      <c r="G40" s="10"/>
      <c r="H40" s="10"/>
      <c r="I40" s="10"/>
      <c r="J40" s="10"/>
    </row>
    <row r="41" spans="1:10">
      <c r="A41" s="10"/>
      <c r="B41" s="10"/>
      <c r="C41" s="10"/>
      <c r="D41" s="10"/>
      <c r="E41" s="10"/>
      <c r="F41" s="10"/>
      <c r="G41" s="10"/>
      <c r="H41" s="10"/>
      <c r="I41" s="10"/>
      <c r="J41" s="10"/>
    </row>
    <row r="42" spans="1:10">
      <c r="A42" s="10"/>
      <c r="B42" s="10"/>
      <c r="C42" s="10"/>
      <c r="D42" s="10"/>
      <c r="E42" s="10"/>
      <c r="F42" s="10"/>
      <c r="G42" s="10"/>
      <c r="H42" s="10"/>
      <c r="I42" s="10"/>
      <c r="J42" s="10"/>
    </row>
    <row r="43" spans="1:10">
      <c r="A43" s="10"/>
      <c r="B43" s="10"/>
      <c r="C43" s="10"/>
      <c r="D43" s="10"/>
      <c r="E43" s="10"/>
      <c r="F43" s="10"/>
      <c r="G43" s="10"/>
      <c r="H43" s="10"/>
      <c r="I43" s="10"/>
      <c r="J43" s="10"/>
    </row>
    <row r="44" spans="1:10">
      <c r="A44" s="10"/>
      <c r="B44" s="10"/>
      <c r="C44" s="10"/>
      <c r="D44" s="10"/>
      <c r="E44" s="10"/>
      <c r="F44" s="10"/>
      <c r="G44" s="10"/>
      <c r="H44" s="10"/>
      <c r="I44" s="10"/>
      <c r="J44" s="10"/>
    </row>
    <row r="45" spans="1:10">
      <c r="A45" s="10"/>
      <c r="B45" s="10"/>
      <c r="C45" s="10"/>
      <c r="D45" s="10"/>
      <c r="E45" s="10"/>
      <c r="F45" s="10"/>
      <c r="G45" s="10"/>
      <c r="H45" s="10"/>
      <c r="I45" s="10"/>
      <c r="J45" s="10"/>
    </row>
    <row r="46" spans="1:10">
      <c r="A46" s="10"/>
      <c r="B46" s="10"/>
      <c r="C46" s="10"/>
      <c r="D46" s="10"/>
      <c r="E46" s="10"/>
      <c r="F46" s="10"/>
      <c r="G46" s="10"/>
      <c r="H46" s="10"/>
      <c r="I46" s="10"/>
      <c r="J46" s="10"/>
    </row>
    <row r="47" spans="1:10">
      <c r="A47" s="10"/>
      <c r="B47" s="10"/>
      <c r="C47" s="10"/>
      <c r="D47" s="10"/>
      <c r="E47" s="10"/>
      <c r="F47" s="10"/>
      <c r="G47" s="10"/>
      <c r="H47" s="10"/>
      <c r="I47" s="10"/>
      <c r="J47" s="10"/>
    </row>
    <row r="48" spans="1:10">
      <c r="A48" s="10"/>
      <c r="B48" s="10"/>
      <c r="C48" s="10"/>
      <c r="D48" s="10"/>
      <c r="E48" s="10"/>
      <c r="F48" s="10"/>
      <c r="G48" s="10"/>
      <c r="H48" s="10"/>
      <c r="I48" s="10"/>
      <c r="J48" s="10"/>
    </row>
    <row r="49" spans="1:10">
      <c r="A49" s="10"/>
      <c r="B49" s="10"/>
      <c r="C49" s="10"/>
      <c r="D49" s="10"/>
      <c r="E49" s="10"/>
      <c r="F49" s="10"/>
      <c r="G49" s="10"/>
      <c r="H49" s="10"/>
      <c r="I49" s="10"/>
      <c r="J49" s="10"/>
    </row>
    <row r="50" spans="1:10">
      <c r="A50" s="10"/>
      <c r="B50" s="10"/>
      <c r="C50" s="10"/>
      <c r="D50" s="10"/>
      <c r="E50" s="10"/>
      <c r="F50" s="10"/>
      <c r="G50" s="10"/>
      <c r="H50" s="10"/>
      <c r="I50" s="10"/>
      <c r="J50" s="10"/>
    </row>
    <row r="51" spans="1:10">
      <c r="A51" s="10"/>
      <c r="B51" s="10"/>
      <c r="C51" s="10"/>
      <c r="D51" s="10"/>
      <c r="E51" s="10"/>
      <c r="F51" s="10"/>
      <c r="G51" s="10"/>
      <c r="H51" s="10"/>
      <c r="I51" s="10"/>
      <c r="J51" s="10"/>
    </row>
    <row r="52" spans="1:10">
      <c r="A52" s="10"/>
      <c r="B52" s="10"/>
      <c r="C52" s="10"/>
      <c r="D52" s="10"/>
      <c r="E52" s="10"/>
      <c r="F52" s="10"/>
      <c r="G52" s="10"/>
      <c r="H52" s="10"/>
      <c r="I52" s="10"/>
      <c r="J52" s="10"/>
    </row>
    <row r="53" spans="1:10">
      <c r="A53" s="10"/>
      <c r="B53" s="10"/>
      <c r="C53" s="10"/>
      <c r="D53" s="10"/>
      <c r="E53" s="10"/>
      <c r="F53" s="10"/>
      <c r="G53" s="10"/>
      <c r="H53" s="10"/>
      <c r="I53" s="10"/>
      <c r="J53" s="10"/>
    </row>
    <row r="54" spans="1:10">
      <c r="A54" s="10"/>
      <c r="B54" s="10"/>
      <c r="C54" s="10"/>
      <c r="D54" s="10"/>
      <c r="E54" s="10"/>
      <c r="F54" s="10"/>
      <c r="G54" s="10"/>
      <c r="H54" s="10"/>
      <c r="I54" s="10"/>
      <c r="J54" s="10"/>
    </row>
    <row r="55" spans="1:10">
      <c r="A55" s="10"/>
      <c r="B55" s="10"/>
      <c r="C55" s="10"/>
      <c r="D55" s="10"/>
      <c r="E55" s="10"/>
      <c r="F55" s="10"/>
      <c r="G55" s="10"/>
      <c r="H55" s="10"/>
      <c r="I55" s="10"/>
      <c r="J55" s="10"/>
    </row>
    <row r="56" spans="1:10">
      <c r="A56" s="10"/>
      <c r="B56" s="10"/>
      <c r="C56" s="10"/>
      <c r="D56" s="10"/>
      <c r="E56" s="10"/>
      <c r="F56" s="10"/>
      <c r="G56" s="10"/>
      <c r="H56" s="10"/>
      <c r="I56" s="10"/>
      <c r="J56" s="10"/>
    </row>
    <row r="57" spans="1:10">
      <c r="A57" s="10"/>
      <c r="B57" s="10"/>
      <c r="C57" s="10"/>
      <c r="D57" s="10"/>
      <c r="E57" s="10"/>
      <c r="F57" s="10"/>
      <c r="G57" s="10"/>
      <c r="H57" s="10"/>
      <c r="I57" s="10"/>
      <c r="J57" s="10"/>
    </row>
    <row r="58" spans="1:10">
      <c r="A58" s="10"/>
      <c r="B58" s="10"/>
      <c r="C58" s="10"/>
      <c r="D58" s="10"/>
      <c r="E58" s="10"/>
      <c r="F58" s="10"/>
      <c r="G58" s="10"/>
      <c r="H58" s="10"/>
      <c r="I58" s="10"/>
      <c r="J58" s="10"/>
    </row>
    <row r="59" spans="1:10">
      <c r="A59" s="10"/>
      <c r="B59" s="10"/>
      <c r="C59" s="10"/>
      <c r="D59" s="10"/>
      <c r="E59" s="10"/>
      <c r="F59" s="10"/>
      <c r="G59" s="10"/>
      <c r="H59" s="10"/>
      <c r="I59" s="10"/>
      <c r="J59" s="10"/>
    </row>
    <row r="60" spans="1:10">
      <c r="A60" s="10"/>
      <c r="B60" s="10"/>
      <c r="C60" s="10"/>
      <c r="D60" s="10"/>
      <c r="E60" s="10"/>
      <c r="F60" s="10"/>
      <c r="G60" s="10"/>
      <c r="H60" s="10"/>
      <c r="I60" s="10"/>
      <c r="J60" s="10"/>
    </row>
    <row r="61" spans="1:10">
      <c r="A61" s="10"/>
      <c r="B61" s="10"/>
      <c r="C61" s="10"/>
      <c r="D61" s="10"/>
      <c r="E61" s="10"/>
      <c r="F61" s="10"/>
      <c r="G61" s="10"/>
      <c r="H61" s="10"/>
      <c r="I61" s="10"/>
      <c r="J61" s="10"/>
    </row>
    <row r="62" spans="1:10">
      <c r="A62" s="10"/>
      <c r="B62" s="10"/>
      <c r="C62" s="10"/>
      <c r="D62" s="10"/>
      <c r="E62" s="10"/>
      <c r="F62" s="10"/>
      <c r="G62" s="10"/>
      <c r="H62" s="10"/>
      <c r="I62" s="10"/>
      <c r="J62" s="10"/>
    </row>
    <row r="63" spans="1:10">
      <c r="A63" s="664" t="s">
        <v>109</v>
      </c>
      <c r="B63" s="348"/>
      <c r="C63" s="348"/>
      <c r="D63" s="348"/>
      <c r="E63" s="348"/>
      <c r="F63" s="348"/>
      <c r="G63" s="10"/>
      <c r="H63" s="10"/>
      <c r="I63" s="10"/>
      <c r="J63" s="10"/>
    </row>
    <row r="64" spans="1:10">
      <c r="A64" s="5"/>
      <c r="B64" s="10"/>
      <c r="C64" s="10"/>
      <c r="D64" s="10"/>
      <c r="E64" s="10"/>
      <c r="F64" s="10"/>
      <c r="G64" s="10"/>
      <c r="H64" s="10"/>
      <c r="I64" s="10"/>
      <c r="J64" s="10"/>
    </row>
    <row r="65" spans="1:10">
      <c r="A65" s="180"/>
      <c r="B65" s="180"/>
      <c r="C65" s="107"/>
      <c r="D65" s="10"/>
      <c r="E65" s="10"/>
      <c r="F65" s="10"/>
      <c r="G65" s="10"/>
      <c r="H65" s="10"/>
      <c r="I65" s="10"/>
      <c r="J65" s="10"/>
    </row>
    <row r="66" spans="1:10">
      <c r="A66" s="180"/>
      <c r="B66" s="180"/>
      <c r="C66" s="107"/>
      <c r="D66" s="160"/>
      <c r="E66" s="160"/>
      <c r="F66" s="160"/>
      <c r="G66" s="160"/>
    </row>
    <row r="67" spans="1:10">
      <c r="A67" s="180"/>
      <c r="B67" s="181"/>
      <c r="C67" s="150"/>
      <c r="D67" s="160"/>
      <c r="E67" s="160"/>
      <c r="F67" s="160"/>
    </row>
    <row r="68" spans="1:10">
      <c r="A68" s="180"/>
      <c r="B68" s="181"/>
      <c r="C68" s="150"/>
      <c r="D68" s="160"/>
      <c r="E68" s="160"/>
      <c r="F68" s="160"/>
      <c r="G68" s="174"/>
    </row>
    <row r="69" spans="1:10">
      <c r="A69" s="180"/>
      <c r="B69" s="181"/>
      <c r="C69" s="150"/>
      <c r="D69" s="160"/>
      <c r="E69" s="160"/>
      <c r="F69" s="160"/>
      <c r="G69" s="178"/>
    </row>
    <row r="70" spans="1:10">
      <c r="A70" s="180"/>
      <c r="B70" s="181"/>
      <c r="C70" s="150"/>
      <c r="D70" s="160"/>
      <c r="E70" s="160"/>
      <c r="F70" s="160"/>
      <c r="G70" s="178"/>
    </row>
    <row r="71" spans="1:10">
      <c r="A71" s="180"/>
      <c r="B71" s="181"/>
      <c r="C71" s="150"/>
      <c r="D71" s="160"/>
      <c r="E71" s="160"/>
      <c r="F71" s="160"/>
      <c r="G71" s="178"/>
    </row>
    <row r="72" spans="1:10">
      <c r="A72" s="180"/>
      <c r="B72" s="181"/>
      <c r="C72" s="150"/>
      <c r="D72" s="160"/>
      <c r="E72" s="160"/>
      <c r="F72" s="160"/>
      <c r="G72" s="178"/>
    </row>
    <row r="73" spans="1:10">
      <c r="A73" s="180"/>
      <c r="B73" s="181"/>
      <c r="C73" s="150"/>
      <c r="D73" s="160"/>
      <c r="E73" s="160"/>
      <c r="F73" s="160"/>
      <c r="G73" s="174"/>
    </row>
    <row r="74" spans="1:10">
      <c r="A74" s="180"/>
      <c r="B74" s="182"/>
      <c r="C74" s="150"/>
      <c r="D74" s="160"/>
      <c r="E74" s="160"/>
      <c r="F74" s="160"/>
      <c r="G74" s="174"/>
    </row>
    <row r="75" spans="1:10">
      <c r="A75" s="180"/>
      <c r="B75" s="180"/>
      <c r="C75" s="107"/>
      <c r="D75" s="160"/>
      <c r="E75" s="160"/>
      <c r="F75" s="160"/>
    </row>
    <row r="76" spans="1:10">
      <c r="A76" s="180"/>
      <c r="B76" s="183"/>
      <c r="C76" s="107"/>
      <c r="D76" s="160"/>
      <c r="E76" s="160"/>
      <c r="F76" s="160"/>
    </row>
    <row r="77" spans="1:10">
      <c r="A77" s="180"/>
      <c r="B77" s="183"/>
      <c r="C77" s="107"/>
      <c r="D77" s="160"/>
      <c r="E77" s="160"/>
      <c r="F77" s="160"/>
    </row>
    <row r="78" spans="1:10">
      <c r="A78" s="180"/>
      <c r="B78" s="183"/>
      <c r="C78" s="107"/>
      <c r="D78" s="160"/>
      <c r="E78" s="160"/>
      <c r="F78" s="160"/>
    </row>
    <row r="79" spans="1:10">
      <c r="A79" s="180"/>
      <c r="B79" s="183"/>
      <c r="C79" s="107"/>
      <c r="D79" s="160"/>
      <c r="E79" s="160"/>
      <c r="F79" s="160"/>
    </row>
    <row r="80" spans="1:10">
      <c r="A80" s="180"/>
      <c r="B80" s="183"/>
      <c r="C80" s="107"/>
      <c r="D80" s="160"/>
      <c r="E80" s="160"/>
      <c r="F80" s="160"/>
    </row>
    <row r="81" spans="1:6">
      <c r="A81" s="180"/>
      <c r="B81" s="183"/>
      <c r="C81" s="107"/>
      <c r="D81" s="160"/>
      <c r="E81" s="160"/>
      <c r="F81" s="160"/>
    </row>
    <row r="82" spans="1:6">
      <c r="A82" s="180"/>
      <c r="B82" s="183"/>
      <c r="C82" s="107"/>
      <c r="D82" s="160"/>
      <c r="E82" s="160"/>
      <c r="F82" s="160"/>
    </row>
    <row r="83" spans="1:6">
      <c r="A83" s="160"/>
      <c r="B83" s="160"/>
      <c r="C83" s="160"/>
      <c r="D83" s="160"/>
      <c r="E83" s="160"/>
      <c r="F83" s="160"/>
    </row>
    <row r="84" spans="1:6">
      <c r="A84" s="160"/>
      <c r="B84" s="160"/>
      <c r="C84" s="160"/>
      <c r="D84" s="160"/>
      <c r="E84" s="160"/>
      <c r="F84" s="160"/>
    </row>
    <row r="85" spans="1:6">
      <c r="A85" s="160"/>
      <c r="B85" s="160"/>
      <c r="C85" s="160"/>
      <c r="D85" s="160"/>
      <c r="E85" s="160"/>
      <c r="F85" s="160"/>
    </row>
    <row r="86" spans="1:6">
      <c r="A86" s="160"/>
      <c r="B86" s="160"/>
      <c r="C86" s="160"/>
      <c r="D86" s="160"/>
      <c r="E86" s="160"/>
      <c r="F86" s="160"/>
    </row>
    <row r="87" spans="1:6">
      <c r="A87" s="160"/>
      <c r="B87" s="160"/>
      <c r="C87" s="160"/>
      <c r="D87" s="160"/>
      <c r="E87" s="160"/>
      <c r="F87" s="160"/>
    </row>
    <row r="88" spans="1:6">
      <c r="A88" s="160"/>
      <c r="B88" s="160"/>
      <c r="C88" s="160"/>
      <c r="D88" s="160"/>
      <c r="E88" s="160"/>
      <c r="F88" s="160"/>
    </row>
    <row r="89" spans="1:6">
      <c r="A89" s="160"/>
      <c r="B89" s="160"/>
      <c r="C89" s="160"/>
      <c r="D89" s="160"/>
      <c r="E89" s="160"/>
      <c r="F89" s="160"/>
    </row>
    <row r="90" spans="1:6">
      <c r="A90" s="160"/>
      <c r="B90" s="160"/>
      <c r="C90" s="160"/>
      <c r="D90" s="160"/>
      <c r="E90" s="160"/>
      <c r="F90" s="160"/>
    </row>
    <row r="91" spans="1:6">
      <c r="A91" s="160"/>
      <c r="B91" s="160"/>
      <c r="C91" s="160"/>
      <c r="D91" s="160"/>
      <c r="E91" s="160"/>
      <c r="F91" s="160"/>
    </row>
    <row r="92" spans="1:6">
      <c r="A92" s="160"/>
      <c r="B92" s="160"/>
      <c r="C92" s="160"/>
      <c r="D92" s="160"/>
      <c r="E92" s="160"/>
      <c r="F92" s="160"/>
    </row>
    <row r="93" spans="1:6">
      <c r="A93" s="160"/>
      <c r="B93" s="160"/>
      <c r="C93" s="160"/>
      <c r="D93" s="160"/>
      <c r="E93" s="160"/>
      <c r="F93" s="160"/>
    </row>
    <row r="94" spans="1:6">
      <c r="A94" s="160"/>
      <c r="B94" s="160"/>
      <c r="C94" s="160"/>
      <c r="D94" s="160"/>
      <c r="E94" s="160"/>
      <c r="F94" s="160"/>
    </row>
    <row r="95" spans="1:6">
      <c r="A95" s="160"/>
      <c r="B95" s="160"/>
      <c r="C95" s="160"/>
      <c r="D95" s="160"/>
      <c r="E95" s="160"/>
      <c r="F95" s="160"/>
    </row>
    <row r="96" spans="1:6">
      <c r="A96" s="160"/>
      <c r="B96" s="160"/>
      <c r="C96" s="160"/>
      <c r="D96" s="160"/>
      <c r="E96" s="160"/>
      <c r="F96" s="160"/>
    </row>
    <row r="97" spans="1:6">
      <c r="A97" s="160"/>
      <c r="B97" s="160"/>
      <c r="C97" s="160"/>
      <c r="D97" s="160"/>
      <c r="E97" s="160"/>
      <c r="F97" s="160"/>
    </row>
    <row r="98" spans="1:6">
      <c r="A98" s="160"/>
      <c r="B98" s="160"/>
      <c r="C98" s="160"/>
      <c r="D98" s="160"/>
      <c r="E98" s="160"/>
      <c r="F98" s="160"/>
    </row>
    <row r="99" spans="1:6">
      <c r="A99" s="160"/>
      <c r="B99" s="160"/>
      <c r="C99" s="160"/>
      <c r="D99" s="160"/>
      <c r="E99" s="160"/>
      <c r="F99" s="160"/>
    </row>
    <row r="100" spans="1:6">
      <c r="A100" s="160"/>
      <c r="B100" s="160"/>
      <c r="C100" s="160"/>
      <c r="D100" s="160"/>
      <c r="E100" s="160"/>
      <c r="F100" s="160"/>
    </row>
    <row r="101" spans="1:6">
      <c r="A101" s="160"/>
      <c r="B101" s="160"/>
      <c r="C101" s="160"/>
      <c r="D101" s="160"/>
      <c r="E101" s="160"/>
      <c r="F101" s="160"/>
    </row>
    <row r="102" spans="1:6">
      <c r="A102" s="160"/>
      <c r="B102" s="160"/>
      <c r="C102" s="160"/>
      <c r="D102" s="160"/>
      <c r="E102" s="160"/>
      <c r="F102" s="160"/>
    </row>
    <row r="103" spans="1:6">
      <c r="A103" s="160"/>
      <c r="B103" s="160"/>
      <c r="C103" s="160"/>
      <c r="D103" s="160"/>
      <c r="E103" s="160"/>
      <c r="F103" s="160"/>
    </row>
    <row r="104" spans="1:6">
      <c r="A104" s="160"/>
      <c r="B104" s="160"/>
      <c r="C104" s="160"/>
      <c r="D104" s="160"/>
      <c r="E104" s="160"/>
      <c r="F104" s="160"/>
    </row>
    <row r="105" spans="1:6">
      <c r="A105" s="160"/>
      <c r="B105" s="160"/>
      <c r="C105" s="160"/>
      <c r="D105" s="160"/>
      <c r="E105" s="160"/>
      <c r="F105" s="160"/>
    </row>
    <row r="106" spans="1:6" ht="18">
      <c r="A106" s="832"/>
      <c r="B106" s="833"/>
      <c r="C106" s="833"/>
      <c r="D106" s="833"/>
      <c r="E106" s="833"/>
    </row>
    <row r="108" spans="1:6" ht="18">
      <c r="A108" s="832"/>
      <c r="B108" s="833"/>
      <c r="C108" s="833"/>
      <c r="D108" s="833"/>
      <c r="E108" s="833"/>
      <c r="F108" s="160"/>
    </row>
    <row r="110" spans="1:6" ht="15.75">
      <c r="A110" s="216"/>
      <c r="B110" s="217"/>
      <c r="C110" s="218"/>
      <c r="D110" s="219"/>
      <c r="E110" s="220"/>
      <c r="F110" s="221"/>
    </row>
    <row r="111" spans="1:6" ht="15.75">
      <c r="A111" s="217"/>
      <c r="B111" s="222"/>
      <c r="C111" s="218"/>
      <c r="D111" s="223"/>
      <c r="E111" s="224"/>
      <c r="F111" s="215"/>
    </row>
    <row r="112" spans="1:6" ht="15.75">
      <c r="A112" s="217"/>
      <c r="B112" s="222"/>
      <c r="C112" s="218"/>
      <c r="D112" s="223"/>
      <c r="E112" s="224"/>
      <c r="F112" s="215"/>
    </row>
    <row r="113" spans="1:6" ht="15.75">
      <c r="A113" s="217"/>
      <c r="B113" s="222"/>
      <c r="C113" s="218"/>
      <c r="D113" s="223"/>
      <c r="E113" s="224"/>
      <c r="F113" s="215"/>
    </row>
    <row r="114" spans="1:6" ht="15.75">
      <c r="A114" s="217"/>
      <c r="B114" s="222"/>
      <c r="C114" s="218"/>
      <c r="D114" s="223"/>
      <c r="E114" s="224"/>
      <c r="F114" s="215"/>
    </row>
    <row r="115" spans="1:6" ht="15.75">
      <c r="A115" s="176"/>
      <c r="B115" s="177"/>
      <c r="C115" s="174"/>
      <c r="D115" s="208"/>
      <c r="E115" s="214"/>
      <c r="F115" s="215"/>
    </row>
    <row r="116" spans="1:6">
      <c r="A116" s="174"/>
      <c r="B116" s="174"/>
      <c r="C116" s="174"/>
      <c r="D116" s="174"/>
      <c r="E116" s="174"/>
      <c r="F116" s="174"/>
    </row>
    <row r="135" spans="1:1" ht="16.5">
      <c r="A135" s="32" t="s">
        <v>109</v>
      </c>
    </row>
  </sheetData>
  <customSheetViews>
    <customSheetView guid="{00BB8FC3-0B7F-4485-B1CD-FF164EC3970C}" fitToPage="1">
      <selection activeCell="D38" sqref="D38"/>
      <pageMargins left="0.25" right="0.25" top="0.75" bottom="0.75" header="0.3" footer="0.3"/>
      <pageSetup paperSize="9" scale="59" fitToHeight="0" orientation="portrait" r:id="rId1"/>
    </customSheetView>
    <customSheetView guid="{5DDDE19F-F10F-4514-A83C-F71CDD7BE512}" fitToPage="1">
      <selection activeCell="D38" sqref="D38"/>
      <pageMargins left="0.25" right="0.25" top="0.75" bottom="0.75" header="0.3" footer="0.3"/>
      <pageSetup paperSize="9" scale="59" fitToHeight="0" orientation="portrait" r:id="rId2"/>
    </customSheetView>
    <customSheetView guid="{9A6D0F5E-68D7-4772-8712-9975EE0A4B2C}" fitToPage="1">
      <selection activeCell="D38" sqref="D38"/>
      <pageMargins left="0.25" right="0.25" top="0.75" bottom="0.75" header="0.3" footer="0.3"/>
      <pageSetup paperSize="9" scale="59" fitToHeight="0" orientation="portrait" r:id="rId3"/>
    </customSheetView>
  </customSheetViews>
  <mergeCells count="3">
    <mergeCell ref="A2:E2"/>
    <mergeCell ref="A108:E108"/>
    <mergeCell ref="A106:E106"/>
  </mergeCells>
  <pageMargins left="0.25" right="0.25" top="0.75" bottom="0.75" header="0.3" footer="0.3"/>
  <pageSetup paperSize="9" scale="59" fitToHeight="0" orientation="portrait" r:id="rId4"/>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97"/>
  <sheetViews>
    <sheetView workbookViewId="0">
      <selection activeCell="M19" sqref="M19"/>
    </sheetView>
  </sheetViews>
  <sheetFormatPr baseColWidth="10" defaultRowHeight="15"/>
  <cols>
    <col min="1" max="1" width="27.7109375" customWidth="1"/>
    <col min="2" max="4" width="12.28515625" customWidth="1"/>
    <col min="5" max="5" width="12.85546875" customWidth="1"/>
    <col min="6" max="6" width="9.85546875" customWidth="1"/>
    <col min="7" max="10" width="12.28515625" customWidth="1"/>
    <col min="13" max="13" width="11.42578125" style="160"/>
  </cols>
  <sheetData>
    <row r="1" spans="1:26" ht="39.75" customHeight="1">
      <c r="A1" s="796" t="s">
        <v>101</v>
      </c>
      <c r="B1" s="796"/>
      <c r="C1" s="796"/>
      <c r="D1" s="796"/>
      <c r="E1" s="796"/>
      <c r="F1" s="796"/>
      <c r="G1" s="796"/>
      <c r="H1" s="796"/>
      <c r="I1" s="386"/>
      <c r="J1" s="385"/>
      <c r="K1" s="10"/>
      <c r="L1" s="10"/>
    </row>
    <row r="2" spans="1:26" ht="15" customHeight="1">
      <c r="A2" s="796"/>
      <c r="B2" s="796"/>
      <c r="C2" s="796"/>
      <c r="D2" s="796"/>
      <c r="E2" s="796"/>
      <c r="F2" s="796"/>
      <c r="G2" s="796"/>
      <c r="H2" s="796"/>
      <c r="I2" s="386"/>
      <c r="J2" s="385"/>
      <c r="K2" s="10"/>
      <c r="L2" s="10"/>
    </row>
    <row r="3" spans="1:26">
      <c r="A3" s="436" t="s">
        <v>257</v>
      </c>
      <c r="B3" s="410"/>
      <c r="C3" s="454"/>
      <c r="D3" s="410"/>
      <c r="E3" s="455"/>
      <c r="F3" s="456"/>
      <c r="G3" s="410"/>
      <c r="H3" s="410"/>
      <c r="I3" s="410"/>
      <c r="J3" s="143"/>
      <c r="K3" s="10"/>
      <c r="L3" s="10"/>
    </row>
    <row r="4" spans="1:26">
      <c r="A4" s="436" t="s">
        <v>419</v>
      </c>
      <c r="B4" s="410"/>
      <c r="C4" s="454"/>
      <c r="D4" s="410"/>
      <c r="E4" s="455"/>
      <c r="F4" s="436"/>
      <c r="G4" s="410"/>
      <c r="H4" s="410"/>
      <c r="I4" s="410"/>
      <c r="J4" s="143"/>
      <c r="K4" s="10"/>
      <c r="L4" s="10"/>
    </row>
    <row r="5" spans="1:26">
      <c r="A5" s="143"/>
      <c r="B5" s="180"/>
      <c r="C5" s="181"/>
      <c r="D5" s="180"/>
      <c r="E5" s="349"/>
      <c r="F5" s="180"/>
      <c r="G5" s="180"/>
      <c r="H5" s="180"/>
      <c r="I5" s="180"/>
      <c r="J5" s="180"/>
      <c r="K5" s="10"/>
      <c r="L5" s="10"/>
    </row>
    <row r="6" spans="1:26">
      <c r="K6" s="787"/>
      <c r="L6" s="787">
        <v>2009</v>
      </c>
      <c r="M6" s="787">
        <v>2010</v>
      </c>
      <c r="N6" s="787">
        <v>2011</v>
      </c>
      <c r="O6" s="787">
        <v>2012</v>
      </c>
      <c r="P6" s="787">
        <v>2013</v>
      </c>
      <c r="Q6" s="787">
        <v>2014</v>
      </c>
      <c r="R6" s="787">
        <v>2015</v>
      </c>
      <c r="S6" s="787">
        <v>2016</v>
      </c>
      <c r="T6" s="787">
        <v>2017</v>
      </c>
      <c r="U6" s="787">
        <v>2018</v>
      </c>
      <c r="V6" s="787">
        <v>2019</v>
      </c>
      <c r="W6" s="180">
        <v>2020</v>
      </c>
      <c r="X6" s="180">
        <v>2021</v>
      </c>
      <c r="Y6" s="300">
        <v>2022</v>
      </c>
      <c r="Z6" s="405">
        <v>2023</v>
      </c>
    </row>
    <row r="7" spans="1:26">
      <c r="K7" s="787" t="s">
        <v>134</v>
      </c>
      <c r="L7" s="788">
        <v>30302</v>
      </c>
      <c r="M7" s="788">
        <v>29315</v>
      </c>
      <c r="N7" s="788">
        <v>30347</v>
      </c>
      <c r="O7" s="788">
        <v>30334</v>
      </c>
      <c r="P7" s="788">
        <v>30645</v>
      </c>
      <c r="Q7" s="788">
        <v>30950</v>
      </c>
      <c r="R7" s="788">
        <v>30647</v>
      </c>
      <c r="S7" s="788">
        <v>31812</v>
      </c>
      <c r="T7" s="788">
        <v>32875</v>
      </c>
      <c r="U7" s="788">
        <v>34850</v>
      </c>
      <c r="V7" s="788">
        <v>35140</v>
      </c>
      <c r="W7" s="164">
        <v>34690</v>
      </c>
      <c r="X7" s="164">
        <v>35278</v>
      </c>
      <c r="Y7" s="682">
        <v>35830</v>
      </c>
      <c r="Z7" s="683">
        <v>35299</v>
      </c>
    </row>
    <row r="8" spans="1:26">
      <c r="K8" s="787" t="s">
        <v>111</v>
      </c>
      <c r="L8" s="788">
        <v>24629</v>
      </c>
      <c r="M8" s="788">
        <v>25306</v>
      </c>
      <c r="N8" s="788">
        <v>25856</v>
      </c>
      <c r="O8" s="788">
        <v>26478</v>
      </c>
      <c r="P8" s="788">
        <v>26654</v>
      </c>
      <c r="Q8" s="788">
        <v>26738</v>
      </c>
      <c r="R8" s="788">
        <v>27978</v>
      </c>
      <c r="S8" s="788">
        <v>27970</v>
      </c>
      <c r="T8" s="788">
        <v>29078</v>
      </c>
      <c r="U8" s="788">
        <v>29229</v>
      </c>
      <c r="V8" s="788">
        <v>29968</v>
      </c>
      <c r="W8" s="164">
        <v>29667</v>
      </c>
      <c r="X8" s="164">
        <v>29573</v>
      </c>
      <c r="Y8" s="682">
        <v>29912</v>
      </c>
      <c r="Z8" s="683">
        <v>30054</v>
      </c>
    </row>
    <row r="9" spans="1:26">
      <c r="K9" s="787" t="s">
        <v>112</v>
      </c>
      <c r="L9" s="788">
        <v>18394</v>
      </c>
      <c r="M9" s="788">
        <v>18499</v>
      </c>
      <c r="N9" s="788">
        <v>18635</v>
      </c>
      <c r="O9" s="787">
        <v>19181</v>
      </c>
      <c r="P9" s="787">
        <v>19526</v>
      </c>
      <c r="Q9" s="787">
        <v>19535</v>
      </c>
      <c r="R9" s="787">
        <v>19455</v>
      </c>
      <c r="S9" s="787">
        <v>20102</v>
      </c>
      <c r="T9" s="787">
        <v>20806</v>
      </c>
      <c r="U9" s="788">
        <v>21158</v>
      </c>
      <c r="V9" s="787">
        <v>20998</v>
      </c>
      <c r="W9" s="164">
        <v>20885</v>
      </c>
      <c r="X9" s="164">
        <v>21066</v>
      </c>
      <c r="Y9" s="682">
        <v>21037</v>
      </c>
      <c r="Z9" s="683">
        <v>20949</v>
      </c>
    </row>
    <row r="10" spans="1:26">
      <c r="K10" s="787" t="s">
        <v>118</v>
      </c>
      <c r="L10" s="788">
        <v>4645</v>
      </c>
      <c r="M10" s="788">
        <v>4700</v>
      </c>
      <c r="N10" s="788">
        <v>4649</v>
      </c>
      <c r="O10" s="788">
        <v>4627</v>
      </c>
      <c r="P10" s="788">
        <v>4532</v>
      </c>
      <c r="Q10" s="788">
        <v>4394</v>
      </c>
      <c r="R10" s="788">
        <v>4343</v>
      </c>
      <c r="S10" s="788">
        <v>4309</v>
      </c>
      <c r="T10" s="788">
        <v>4260</v>
      </c>
      <c r="U10" s="788">
        <v>4018</v>
      </c>
      <c r="V10" s="788">
        <v>4199</v>
      </c>
      <c r="W10" s="164">
        <v>4133</v>
      </c>
      <c r="X10" s="164">
        <v>4261</v>
      </c>
      <c r="Y10" s="682">
        <v>4196</v>
      </c>
      <c r="Z10" s="683">
        <v>4231</v>
      </c>
    </row>
    <row r="11" spans="1:26">
      <c r="K11" s="787" t="s">
        <v>119</v>
      </c>
      <c r="L11" s="788">
        <v>7833</v>
      </c>
      <c r="M11" s="788">
        <v>7540</v>
      </c>
      <c r="N11" s="787">
        <v>7427</v>
      </c>
      <c r="O11" s="787">
        <v>7606</v>
      </c>
      <c r="P11" s="787">
        <v>7695</v>
      </c>
      <c r="Q11" s="787">
        <v>7819</v>
      </c>
      <c r="R11" s="787">
        <v>7590</v>
      </c>
      <c r="S11" s="788">
        <v>7883</v>
      </c>
      <c r="T11" s="788">
        <v>7924</v>
      </c>
      <c r="U11" s="788">
        <v>8183</v>
      </c>
      <c r="V11" s="788">
        <v>8417</v>
      </c>
      <c r="W11" s="164">
        <v>8071</v>
      </c>
      <c r="X11" s="164">
        <v>8074</v>
      </c>
      <c r="Y11" s="682">
        <v>8315</v>
      </c>
      <c r="Z11" s="683">
        <v>8462</v>
      </c>
    </row>
    <row r="12" spans="1:26">
      <c r="K12" s="787" t="s">
        <v>136</v>
      </c>
      <c r="L12" s="788">
        <v>12086</v>
      </c>
      <c r="M12" s="788">
        <v>12126</v>
      </c>
      <c r="N12" s="788">
        <v>12534</v>
      </c>
      <c r="O12" s="788">
        <v>13037</v>
      </c>
      <c r="P12" s="788">
        <v>13142</v>
      </c>
      <c r="Q12" s="788">
        <v>13381</v>
      </c>
      <c r="R12" s="788">
        <v>12281</v>
      </c>
      <c r="S12" s="788">
        <v>12832</v>
      </c>
      <c r="T12" s="788">
        <v>15206</v>
      </c>
      <c r="U12" s="788">
        <v>14900</v>
      </c>
      <c r="V12" s="788">
        <v>14846</v>
      </c>
      <c r="W12" s="164">
        <v>12737</v>
      </c>
      <c r="X12" s="164">
        <v>13202</v>
      </c>
      <c r="Y12" s="682">
        <v>15042</v>
      </c>
      <c r="Z12" s="683">
        <v>15563</v>
      </c>
    </row>
    <row r="13" spans="1:26">
      <c r="K13" s="787" t="s">
        <v>135</v>
      </c>
      <c r="L13" s="788">
        <v>5214</v>
      </c>
      <c r="M13" s="788">
        <v>4992</v>
      </c>
      <c r="N13" s="788">
        <v>5229</v>
      </c>
      <c r="O13" s="788">
        <v>5469</v>
      </c>
      <c r="P13" s="788">
        <v>5650</v>
      </c>
      <c r="Q13" s="788">
        <v>5762</v>
      </c>
      <c r="R13" s="788">
        <v>5281</v>
      </c>
      <c r="S13" s="788">
        <v>5262</v>
      </c>
      <c r="T13" s="788">
        <v>5570</v>
      </c>
      <c r="U13" s="788">
        <v>6203</v>
      </c>
      <c r="V13" s="788">
        <v>5885</v>
      </c>
      <c r="W13" s="164">
        <v>5796</v>
      </c>
      <c r="X13" s="164">
        <v>5853</v>
      </c>
      <c r="Y13" s="682">
        <v>5947</v>
      </c>
      <c r="Z13" s="683">
        <v>6001</v>
      </c>
    </row>
    <row r="14" spans="1:26">
      <c r="A14" s="353"/>
      <c r="B14" s="351"/>
      <c r="C14" s="354"/>
      <c r="D14" s="351"/>
      <c r="E14" s="355"/>
      <c r="F14" s="351"/>
      <c r="G14" s="351"/>
      <c r="H14" s="351"/>
      <c r="I14" s="351"/>
      <c r="J14" s="351"/>
      <c r="K14" s="75"/>
      <c r="L14" s="10"/>
    </row>
    <row r="15" spans="1:26">
      <c r="A15" s="350"/>
      <c r="B15" s="350"/>
      <c r="C15" s="352"/>
      <c r="D15" s="350"/>
      <c r="E15" s="356"/>
      <c r="F15" s="350"/>
      <c r="G15" s="350"/>
      <c r="H15" s="350"/>
      <c r="I15" s="350"/>
      <c r="J15" s="350"/>
      <c r="K15" s="75"/>
      <c r="L15" s="10"/>
    </row>
    <row r="16" spans="1:26">
      <c r="A16" s="350"/>
      <c r="B16" s="350"/>
      <c r="C16" s="352"/>
      <c r="D16" s="350"/>
      <c r="E16" s="356"/>
      <c r="F16" s="350"/>
      <c r="G16" s="350"/>
      <c r="H16" s="350"/>
      <c r="I16" s="350"/>
      <c r="J16" s="350"/>
      <c r="K16" s="75"/>
      <c r="L16" s="10"/>
    </row>
    <row r="17" spans="1:12">
      <c r="A17" s="253"/>
      <c r="B17" s="143"/>
      <c r="C17" s="164"/>
      <c r="D17" s="143"/>
      <c r="E17" s="357"/>
      <c r="F17" s="143"/>
      <c r="G17" s="143"/>
      <c r="H17" s="143"/>
      <c r="I17" s="143"/>
      <c r="J17" s="143"/>
      <c r="K17" s="10"/>
      <c r="L17" s="10"/>
    </row>
    <row r="18" spans="1:12">
      <c r="A18" s="143"/>
      <c r="B18" s="143"/>
      <c r="C18" s="164"/>
      <c r="D18" s="143"/>
      <c r="E18" s="357"/>
      <c r="F18" s="143"/>
      <c r="G18" s="143"/>
      <c r="H18" s="143"/>
      <c r="I18" s="143"/>
      <c r="J18" s="143"/>
      <c r="K18" s="10"/>
      <c r="L18" s="10"/>
    </row>
    <row r="19" spans="1:12">
      <c r="A19" s="143"/>
      <c r="B19" s="143"/>
      <c r="C19" s="164"/>
      <c r="D19" s="143"/>
      <c r="E19" s="357"/>
      <c r="F19" s="143"/>
      <c r="G19" s="143"/>
      <c r="H19" s="143"/>
      <c r="I19" s="143"/>
      <c r="J19" s="143"/>
      <c r="K19" s="10"/>
      <c r="L19" s="10"/>
    </row>
    <row r="20" spans="1:12">
      <c r="A20" s="143"/>
      <c r="B20" s="143"/>
      <c r="C20" s="164"/>
      <c r="D20" s="143"/>
      <c r="E20" s="357"/>
      <c r="F20" s="143"/>
      <c r="G20" s="143"/>
      <c r="H20" s="143"/>
      <c r="I20" s="143"/>
      <c r="J20" s="143"/>
      <c r="K20" s="10"/>
      <c r="L20" s="10"/>
    </row>
    <row r="21" spans="1:12">
      <c r="A21" s="143"/>
      <c r="B21" s="143"/>
      <c r="C21" s="164"/>
      <c r="D21" s="143"/>
      <c r="E21" s="357"/>
      <c r="F21" s="143"/>
      <c r="G21" s="143"/>
      <c r="H21" s="143"/>
      <c r="I21" s="143"/>
      <c r="J21" s="143"/>
      <c r="K21" s="10"/>
      <c r="L21" s="10"/>
    </row>
    <row r="22" spans="1:12">
      <c r="A22" s="143"/>
      <c r="B22" s="143"/>
      <c r="C22" s="164"/>
      <c r="D22" s="143"/>
      <c r="E22" s="357"/>
      <c r="F22" s="143"/>
      <c r="G22" s="143"/>
      <c r="H22" s="143"/>
      <c r="I22" s="143"/>
      <c r="J22" s="143"/>
      <c r="K22" s="10"/>
      <c r="L22" s="10"/>
    </row>
    <row r="23" spans="1:12">
      <c r="A23" s="143"/>
      <c r="B23" s="143"/>
      <c r="C23" s="164"/>
      <c r="D23" s="143"/>
      <c r="E23" s="357"/>
      <c r="F23" s="143"/>
      <c r="G23" s="143"/>
      <c r="H23" s="143"/>
      <c r="I23" s="143"/>
      <c r="J23" s="143"/>
      <c r="K23" s="10"/>
      <c r="L23" s="10"/>
    </row>
    <row r="24" spans="1:12">
      <c r="A24" s="143"/>
      <c r="B24" s="143"/>
      <c r="C24" s="164"/>
      <c r="D24" s="143"/>
      <c r="E24" s="357"/>
      <c r="F24" s="143"/>
      <c r="G24" s="143"/>
      <c r="H24" s="143"/>
      <c r="I24" s="143"/>
      <c r="J24" s="143"/>
      <c r="K24" s="10"/>
      <c r="L24" s="10"/>
    </row>
    <row r="25" spans="1:12">
      <c r="A25" s="143"/>
      <c r="B25" s="143"/>
      <c r="C25" s="164"/>
      <c r="D25" s="143"/>
      <c r="E25" s="357"/>
      <c r="F25" s="143"/>
      <c r="G25" s="143"/>
      <c r="H25" s="143"/>
      <c r="I25" s="143"/>
      <c r="J25" s="143"/>
      <c r="K25" s="10"/>
      <c r="L25" s="10"/>
    </row>
    <row r="26" spans="1:12">
      <c r="A26" s="143"/>
      <c r="B26" s="143"/>
      <c r="C26" s="164"/>
      <c r="D26" s="143"/>
      <c r="E26" s="357"/>
      <c r="F26" s="143"/>
      <c r="G26" s="143"/>
      <c r="H26" s="143"/>
      <c r="I26" s="143"/>
      <c r="J26" s="143"/>
      <c r="K26" s="10"/>
      <c r="L26" s="10"/>
    </row>
    <row r="27" spans="1:12">
      <c r="A27" s="350" t="s">
        <v>109</v>
      </c>
      <c r="B27" s="143"/>
      <c r="C27" s="164"/>
      <c r="D27" s="143"/>
      <c r="E27" s="357"/>
      <c r="F27" s="143"/>
      <c r="G27" s="143"/>
      <c r="H27" s="143"/>
      <c r="I27" s="143"/>
      <c r="J27" s="143"/>
      <c r="K27" s="10"/>
      <c r="L27" s="10"/>
    </row>
    <row r="28" spans="1:12">
      <c r="A28" s="143"/>
      <c r="B28" s="143"/>
      <c r="C28" s="164"/>
      <c r="D28" s="143"/>
      <c r="E28" s="357"/>
      <c r="F28" s="143"/>
      <c r="G28" s="143"/>
      <c r="H28" s="143"/>
      <c r="I28" s="143"/>
      <c r="J28" s="143"/>
      <c r="K28" s="10"/>
      <c r="L28" s="10"/>
    </row>
    <row r="29" spans="1:12">
      <c r="A29" s="143"/>
      <c r="B29" s="143"/>
      <c r="C29" s="164"/>
      <c r="D29" s="143"/>
      <c r="E29" s="357"/>
      <c r="F29" s="143"/>
      <c r="G29" s="143"/>
      <c r="H29" s="143"/>
      <c r="I29" s="143"/>
      <c r="J29" s="143"/>
      <c r="K29" s="10"/>
      <c r="L29" s="10"/>
    </row>
    <row r="30" spans="1:12">
      <c r="A30" s="143"/>
      <c r="B30" s="143"/>
      <c r="C30" s="164"/>
      <c r="D30" s="143"/>
      <c r="E30" s="357"/>
      <c r="F30" s="143"/>
      <c r="G30" s="143"/>
      <c r="H30" s="143"/>
      <c r="I30" s="143"/>
      <c r="J30" s="143"/>
      <c r="K30" s="10"/>
      <c r="L30" s="10"/>
    </row>
    <row r="31" spans="1:12" ht="26.25">
      <c r="A31" s="386" t="s">
        <v>258</v>
      </c>
      <c r="B31" s="386"/>
      <c r="C31" s="386"/>
      <c r="D31" s="386"/>
      <c r="E31" s="757"/>
      <c r="F31" s="71"/>
      <c r="G31" s="71"/>
      <c r="H31" s="71"/>
      <c r="I31" s="71"/>
      <c r="J31" s="143"/>
      <c r="K31" s="10"/>
      <c r="L31" s="10"/>
    </row>
    <row r="32" spans="1:12" ht="15.75">
      <c r="A32" s="758" t="s">
        <v>419</v>
      </c>
      <c r="B32" s="758"/>
      <c r="C32" s="358"/>
      <c r="D32" s="359"/>
      <c r="E32" s="359"/>
      <c r="F32" s="359"/>
      <c r="G32" s="359"/>
      <c r="H32" s="240"/>
      <c r="I32" s="10"/>
      <c r="J32" s="143"/>
      <c r="K32" s="10"/>
      <c r="L32" s="10"/>
    </row>
    <row r="33" spans="1:12" s="71" customFormat="1" ht="19.5" customHeight="1">
      <c r="A33" s="414"/>
      <c r="B33" s="571" t="s">
        <v>110</v>
      </c>
      <c r="C33" s="571" t="s">
        <v>111</v>
      </c>
      <c r="D33" s="571" t="s">
        <v>112</v>
      </c>
      <c r="E33" s="571" t="s">
        <v>113</v>
      </c>
      <c r="F33" s="571" t="s">
        <v>114</v>
      </c>
      <c r="G33" s="571" t="s">
        <v>293</v>
      </c>
      <c r="H33" s="571" t="s">
        <v>116</v>
      </c>
      <c r="I33" s="456" t="s">
        <v>47</v>
      </c>
    </row>
    <row r="34" spans="1:12">
      <c r="A34" s="240">
        <v>2010</v>
      </c>
      <c r="B34" s="360">
        <v>3274</v>
      </c>
      <c r="C34" s="592">
        <v>1248</v>
      </c>
      <c r="D34" s="592">
        <v>1424</v>
      </c>
      <c r="E34" s="592">
        <v>84</v>
      </c>
      <c r="F34" s="592">
        <v>120</v>
      </c>
      <c r="G34" s="592">
        <v>936</v>
      </c>
      <c r="H34" s="592">
        <v>372</v>
      </c>
      <c r="I34" s="149">
        <v>7458</v>
      </c>
      <c r="J34" s="10"/>
      <c r="K34" s="10"/>
      <c r="L34" s="10"/>
    </row>
    <row r="35" spans="1:12">
      <c r="A35" s="240">
        <v>2011</v>
      </c>
      <c r="B35" s="361">
        <v>3225</v>
      </c>
      <c r="C35" s="361">
        <v>1276</v>
      </c>
      <c r="D35" s="362">
        <v>1421</v>
      </c>
      <c r="E35" s="363">
        <v>92</v>
      </c>
      <c r="F35" s="363">
        <v>115</v>
      </c>
      <c r="G35" s="363">
        <v>921</v>
      </c>
      <c r="H35" s="361">
        <v>352</v>
      </c>
      <c r="I35" s="149">
        <f t="shared" ref="I35:I43" si="0">SUM(B35:H35)</f>
        <v>7402</v>
      </c>
      <c r="J35" s="10"/>
      <c r="K35" s="10"/>
      <c r="L35" s="10"/>
    </row>
    <row r="36" spans="1:12" s="68" customFormat="1" ht="16.5">
      <c r="A36" s="64">
        <v>2012</v>
      </c>
      <c r="B36" s="361">
        <v>3186</v>
      </c>
      <c r="C36" s="361">
        <v>1322</v>
      </c>
      <c r="D36" s="364">
        <v>1438</v>
      </c>
      <c r="E36" s="363">
        <v>97</v>
      </c>
      <c r="F36" s="363">
        <v>118</v>
      </c>
      <c r="G36" s="363">
        <v>884</v>
      </c>
      <c r="H36" s="363">
        <v>268</v>
      </c>
      <c r="I36" s="149">
        <f t="shared" si="0"/>
        <v>7313</v>
      </c>
      <c r="J36" s="10"/>
      <c r="K36" s="10"/>
      <c r="L36" s="10"/>
    </row>
    <row r="37" spans="1:12">
      <c r="A37" s="184">
        <v>2013</v>
      </c>
      <c r="B37" s="242">
        <v>3106</v>
      </c>
      <c r="C37" s="242">
        <v>1351</v>
      </c>
      <c r="D37" s="243">
        <v>1432</v>
      </c>
      <c r="E37" s="242">
        <v>102</v>
      </c>
      <c r="F37" s="242">
        <v>122</v>
      </c>
      <c r="G37" s="242">
        <v>825</v>
      </c>
      <c r="H37" s="242">
        <v>188</v>
      </c>
      <c r="I37" s="149">
        <f t="shared" si="0"/>
        <v>7126</v>
      </c>
      <c r="J37" s="10"/>
      <c r="K37" s="10"/>
      <c r="L37" s="10"/>
    </row>
    <row r="38" spans="1:12">
      <c r="A38" s="184">
        <v>2014</v>
      </c>
      <c r="B38" s="242">
        <v>2971</v>
      </c>
      <c r="C38" s="242">
        <v>1360</v>
      </c>
      <c r="D38" s="243">
        <v>1324</v>
      </c>
      <c r="E38" s="242">
        <v>97</v>
      </c>
      <c r="F38" s="242">
        <v>127</v>
      </c>
      <c r="G38" s="242">
        <v>752</v>
      </c>
      <c r="H38" s="242">
        <v>206</v>
      </c>
      <c r="I38" s="149">
        <f t="shared" si="0"/>
        <v>6837</v>
      </c>
      <c r="J38" s="10"/>
      <c r="K38" s="10"/>
      <c r="L38" s="10"/>
    </row>
    <row r="39" spans="1:12" s="160" customFormat="1">
      <c r="A39" s="184">
        <v>2015</v>
      </c>
      <c r="B39" s="242">
        <v>2843</v>
      </c>
      <c r="C39" s="242">
        <v>1390</v>
      </c>
      <c r="D39" s="243">
        <v>1192</v>
      </c>
      <c r="E39" s="242">
        <v>86</v>
      </c>
      <c r="F39" s="242">
        <v>122</v>
      </c>
      <c r="G39" s="242">
        <v>520</v>
      </c>
      <c r="H39" s="242">
        <v>155</v>
      </c>
      <c r="I39" s="149">
        <f t="shared" si="0"/>
        <v>6308</v>
      </c>
      <c r="J39" s="10"/>
      <c r="K39" s="10"/>
      <c r="L39" s="10"/>
    </row>
    <row r="40" spans="1:12">
      <c r="A40" s="184">
        <v>2016</v>
      </c>
      <c r="B40" s="164">
        <v>2736</v>
      </c>
      <c r="C40" s="164">
        <v>1371</v>
      </c>
      <c r="D40" s="164">
        <v>1124</v>
      </c>
      <c r="E40" s="164">
        <v>79</v>
      </c>
      <c r="F40" s="164">
        <v>155</v>
      </c>
      <c r="G40" s="164">
        <v>527</v>
      </c>
      <c r="H40" s="164">
        <v>149</v>
      </c>
      <c r="I40" s="164">
        <f t="shared" si="0"/>
        <v>6141</v>
      </c>
      <c r="J40" s="10"/>
      <c r="K40" s="10"/>
      <c r="L40" s="10"/>
    </row>
    <row r="41" spans="1:12">
      <c r="A41" s="184">
        <v>2017</v>
      </c>
      <c r="B41" s="164">
        <v>2713</v>
      </c>
      <c r="C41" s="164">
        <v>1387</v>
      </c>
      <c r="D41" s="164">
        <v>1092</v>
      </c>
      <c r="E41" s="164">
        <v>81</v>
      </c>
      <c r="F41" s="164">
        <v>165</v>
      </c>
      <c r="G41" s="164">
        <v>517</v>
      </c>
      <c r="H41" s="164">
        <v>148</v>
      </c>
      <c r="I41" s="164">
        <f t="shared" si="0"/>
        <v>6103</v>
      </c>
      <c r="J41" s="10"/>
      <c r="K41" s="10"/>
      <c r="L41" s="10"/>
    </row>
    <row r="42" spans="1:12">
      <c r="A42" s="184">
        <v>2018</v>
      </c>
      <c r="B42" s="164">
        <v>2751</v>
      </c>
      <c r="C42" s="164">
        <v>1420</v>
      </c>
      <c r="D42" s="164">
        <v>1086</v>
      </c>
      <c r="E42" s="164">
        <v>80</v>
      </c>
      <c r="F42" s="164">
        <v>183</v>
      </c>
      <c r="G42" s="164">
        <v>509</v>
      </c>
      <c r="H42" s="164">
        <v>149</v>
      </c>
      <c r="I42" s="164">
        <f t="shared" si="0"/>
        <v>6178</v>
      </c>
      <c r="J42" s="10"/>
      <c r="K42" s="10"/>
      <c r="L42" s="10"/>
    </row>
    <row r="43" spans="1:12">
      <c r="A43" s="184">
        <v>2019</v>
      </c>
      <c r="B43" s="164">
        <v>2754</v>
      </c>
      <c r="C43" s="164">
        <v>1509</v>
      </c>
      <c r="D43" s="164">
        <v>1079</v>
      </c>
      <c r="E43" s="164">
        <v>84</v>
      </c>
      <c r="F43" s="164">
        <v>201</v>
      </c>
      <c r="G43" s="164">
        <v>509</v>
      </c>
      <c r="H43" s="164">
        <v>146</v>
      </c>
      <c r="I43" s="164">
        <f t="shared" si="0"/>
        <v>6282</v>
      </c>
      <c r="J43" s="10"/>
      <c r="K43" s="10"/>
      <c r="L43" s="10"/>
    </row>
    <row r="44" spans="1:12">
      <c r="A44" s="184">
        <v>2020</v>
      </c>
      <c r="B44" s="164">
        <v>2745</v>
      </c>
      <c r="C44" s="164">
        <v>1519</v>
      </c>
      <c r="D44" s="164">
        <v>1056</v>
      </c>
      <c r="E44" s="164">
        <v>79</v>
      </c>
      <c r="F44" s="164">
        <v>204</v>
      </c>
      <c r="G44" s="164">
        <v>515</v>
      </c>
      <c r="H44" s="164">
        <v>135</v>
      </c>
      <c r="I44" s="164">
        <v>6253</v>
      </c>
      <c r="J44" s="10"/>
      <c r="K44" s="10"/>
      <c r="L44" s="10"/>
    </row>
    <row r="45" spans="1:12">
      <c r="A45" s="184">
        <v>2021</v>
      </c>
      <c r="B45" s="245">
        <v>2654</v>
      </c>
      <c r="C45" s="245">
        <v>1490</v>
      </c>
      <c r="D45" s="245">
        <v>1045</v>
      </c>
      <c r="E45" s="245">
        <v>74</v>
      </c>
      <c r="F45" s="245">
        <v>214</v>
      </c>
      <c r="G45" s="245">
        <v>488</v>
      </c>
      <c r="H45" s="245">
        <v>131</v>
      </c>
      <c r="I45" s="245">
        <v>6095</v>
      </c>
      <c r="J45" s="10"/>
      <c r="K45" s="10"/>
      <c r="L45" s="10"/>
    </row>
    <row r="46" spans="1:12" s="143" customFormat="1">
      <c r="A46" s="184">
        <v>2022</v>
      </c>
      <c r="B46" s="245">
        <v>2539</v>
      </c>
      <c r="C46" s="242">
        <v>1432</v>
      </c>
      <c r="D46" s="245">
        <v>1032</v>
      </c>
      <c r="E46" s="245">
        <v>76</v>
      </c>
      <c r="F46" s="245">
        <v>181</v>
      </c>
      <c r="G46" s="245">
        <v>451</v>
      </c>
      <c r="H46" s="245">
        <v>131</v>
      </c>
      <c r="I46" s="245">
        <v>5841</v>
      </c>
    </row>
    <row r="47" spans="1:12" s="160" customFormat="1">
      <c r="A47" s="457">
        <v>2023</v>
      </c>
      <c r="B47" s="464">
        <v>2439</v>
      </c>
      <c r="C47" s="521">
        <v>1438</v>
      </c>
      <c r="D47" s="464">
        <v>1052</v>
      </c>
      <c r="E47" s="464">
        <v>83</v>
      </c>
      <c r="F47" s="464">
        <v>183</v>
      </c>
      <c r="G47" s="464">
        <v>447</v>
      </c>
      <c r="H47" s="464">
        <v>141</v>
      </c>
      <c r="I47" s="464">
        <f>SUM(B47:H47)</f>
        <v>5783</v>
      </c>
      <c r="J47" s="10"/>
      <c r="K47" s="10"/>
      <c r="L47" s="10"/>
    </row>
    <row r="48" spans="1:12" s="160" customFormat="1">
      <c r="A48" s="199"/>
      <c r="B48" s="245"/>
      <c r="C48" s="242"/>
      <c r="D48" s="245"/>
      <c r="E48" s="245"/>
      <c r="F48" s="245"/>
      <c r="G48" s="245"/>
      <c r="H48" s="245"/>
      <c r="I48" s="245"/>
      <c r="J48" s="10"/>
      <c r="K48" s="10"/>
      <c r="L48" s="10"/>
    </row>
    <row r="49" spans="1:12" s="160" customFormat="1">
      <c r="A49" s="305" t="s">
        <v>612</v>
      </c>
      <c r="B49" s="10"/>
      <c r="C49" s="10"/>
      <c r="D49" s="10"/>
      <c r="E49" s="10"/>
      <c r="F49" s="10"/>
      <c r="G49" s="10"/>
      <c r="H49" s="10"/>
      <c r="I49" s="10"/>
      <c r="J49" s="10"/>
      <c r="K49" s="10"/>
      <c r="L49" s="10"/>
    </row>
    <row r="50" spans="1:12" s="130" customFormat="1">
      <c r="J50" s="308"/>
      <c r="K50" s="308"/>
      <c r="L50" s="308"/>
    </row>
    <row r="51" spans="1:12" s="143" customFormat="1"/>
    <row r="52" spans="1:12" s="143" customFormat="1"/>
    <row r="53" spans="1:12" s="143" customFormat="1"/>
    <row r="54" spans="1:12">
      <c r="J54" s="10"/>
      <c r="K54" s="10"/>
      <c r="L54" s="10"/>
    </row>
    <row r="55" spans="1:12">
      <c r="A55" s="10"/>
      <c r="B55" s="10"/>
      <c r="C55" s="10"/>
      <c r="D55" s="10"/>
      <c r="E55" s="10"/>
      <c r="F55" s="10"/>
      <c r="G55" s="10"/>
      <c r="H55" s="10"/>
      <c r="I55" s="10"/>
      <c r="J55" s="10"/>
      <c r="K55" s="10"/>
      <c r="L55" s="10"/>
    </row>
    <row r="80" spans="8:8">
      <c r="H80" s="2"/>
    </row>
    <row r="97" spans="1:1" ht="16.5">
      <c r="A97" s="32"/>
    </row>
  </sheetData>
  <customSheetViews>
    <customSheetView guid="{00BB8FC3-0B7F-4485-B1CD-FF164EC3970C}" fitToPage="1" topLeftCell="A4">
      <selection activeCell="N15" sqref="N15"/>
      <pageMargins left="0.7" right="0.7" top="0.78740157499999996" bottom="0.78740157499999996" header="0.3" footer="0.3"/>
      <pageSetup paperSize="9" scale="59" orientation="portrait" r:id="rId1"/>
    </customSheetView>
    <customSheetView guid="{5DDDE19F-F10F-4514-A83C-F71CDD7BE512}" fitToPage="1" topLeftCell="A4">
      <selection activeCell="N15" sqref="N15"/>
      <pageMargins left="0.7" right="0.7" top="0.78740157499999996" bottom="0.78740157499999996" header="0.3" footer="0.3"/>
      <pageSetup paperSize="9" scale="59" orientation="portrait" r:id="rId2"/>
    </customSheetView>
    <customSheetView guid="{9A6D0F5E-68D7-4772-8712-9975EE0A4B2C}" fitToPage="1" topLeftCell="A4">
      <selection activeCell="N15" sqref="N15"/>
      <pageMargins left="0.7" right="0.7" top="0.78740157499999996" bottom="0.78740157499999996" header="0.3" footer="0.3"/>
      <pageSetup paperSize="9" scale="59" orientation="portrait" r:id="rId3"/>
    </customSheetView>
  </customSheetViews>
  <mergeCells count="1">
    <mergeCell ref="A1:H2"/>
  </mergeCells>
  <pageMargins left="0.7" right="0.7" top="0.78740157499999996" bottom="0.78740157499999996" header="0.3" footer="0.3"/>
  <pageSetup paperSize="9" scale="42"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25"/>
  <sheetViews>
    <sheetView zoomScaleNormal="100" workbookViewId="0">
      <selection activeCell="G28" sqref="G28"/>
    </sheetView>
  </sheetViews>
  <sheetFormatPr baseColWidth="10" defaultRowHeight="15"/>
  <cols>
    <col min="1" max="1" width="35.85546875" customWidth="1"/>
    <col min="2" max="2" width="19.85546875" customWidth="1"/>
    <col min="3" max="3" width="10.85546875"/>
    <col min="4" max="4" width="16.7109375" customWidth="1"/>
  </cols>
  <sheetData>
    <row r="1" spans="1:10" ht="39.75" customHeight="1">
      <c r="A1" s="796" t="s">
        <v>142</v>
      </c>
      <c r="B1" s="796"/>
      <c r="C1" s="796"/>
      <c r="D1" s="796"/>
      <c r="E1" s="796"/>
      <c r="F1" s="799"/>
      <c r="G1" s="799"/>
      <c r="H1" s="799"/>
      <c r="I1" s="799"/>
      <c r="J1" s="383"/>
    </row>
    <row r="2" spans="1:10" ht="15" customHeight="1">
      <c r="A2" s="796"/>
      <c r="B2" s="796"/>
      <c r="C2" s="796"/>
      <c r="D2" s="796"/>
      <c r="E2" s="796"/>
      <c r="F2" s="799"/>
      <c r="G2" s="799"/>
      <c r="H2" s="799"/>
      <c r="I2" s="799"/>
      <c r="J2" s="383"/>
    </row>
    <row r="3" spans="1:10" ht="15.75">
      <c r="A3" s="26"/>
      <c r="B3" s="228"/>
      <c r="C3" s="228"/>
      <c r="D3" s="365"/>
      <c r="E3" s="228"/>
    </row>
    <row r="4" spans="1:10">
      <c r="A4" s="460" t="s">
        <v>143</v>
      </c>
      <c r="B4" s="460"/>
      <c r="C4" s="456"/>
      <c r="D4" s="593"/>
      <c r="E4" s="456"/>
    </row>
    <row r="5" spans="1:10">
      <c r="A5" s="5" t="s">
        <v>686</v>
      </c>
      <c r="B5" s="10"/>
      <c r="C5" s="10"/>
      <c r="D5" s="148"/>
      <c r="E5" s="10"/>
    </row>
    <row r="6" spans="1:10" s="160" customFormat="1">
      <c r="A6" s="5"/>
      <c r="B6" s="10"/>
      <c r="C6" s="10"/>
      <c r="D6" s="148"/>
      <c r="E6" s="10"/>
    </row>
    <row r="7" spans="1:10">
      <c r="A7" s="366" t="s">
        <v>144</v>
      </c>
      <c r="B7" s="366" t="s">
        <v>305</v>
      </c>
      <c r="C7" s="366" t="s">
        <v>105</v>
      </c>
      <c r="D7" s="594" t="s">
        <v>125</v>
      </c>
      <c r="E7" s="366" t="s">
        <v>105</v>
      </c>
    </row>
    <row r="8" spans="1:10">
      <c r="A8" s="143" t="s">
        <v>304</v>
      </c>
      <c r="B8" s="164">
        <v>2321</v>
      </c>
      <c r="C8" s="201">
        <f>B8*100/$B$12</f>
        <v>77.18656468240772</v>
      </c>
      <c r="D8" s="330">
        <v>7172</v>
      </c>
      <c r="E8" s="201">
        <f>D8*100/$D$12</f>
        <v>20.911449981047905</v>
      </c>
    </row>
    <row r="9" spans="1:10">
      <c r="A9" s="143" t="s">
        <v>302</v>
      </c>
      <c r="B9" s="164">
        <v>585</v>
      </c>
      <c r="C9" s="201">
        <f t="shared" ref="C9:C11" si="0">B9*100/$B$12</f>
        <v>19.454605919521118</v>
      </c>
      <c r="D9" s="330">
        <v>12180</v>
      </c>
      <c r="E9" s="201">
        <f t="shared" ref="E9:E11" si="1">D9*100/$D$12</f>
        <v>35.513310202058491</v>
      </c>
    </row>
    <row r="10" spans="1:10">
      <c r="A10" s="143" t="s">
        <v>303</v>
      </c>
      <c r="B10" s="164">
        <v>93</v>
      </c>
      <c r="C10" s="201">
        <f t="shared" si="0"/>
        <v>3.0927835051546393</v>
      </c>
      <c r="D10" s="330">
        <v>10533</v>
      </c>
      <c r="E10" s="201">
        <f t="shared" si="1"/>
        <v>30.711140916115113</v>
      </c>
    </row>
    <row r="11" spans="1:10">
      <c r="A11" s="434" t="s">
        <v>301</v>
      </c>
      <c r="B11" s="462">
        <v>8</v>
      </c>
      <c r="C11" s="458">
        <f t="shared" si="0"/>
        <v>0.26604589291652808</v>
      </c>
      <c r="D11" s="595">
        <v>4412</v>
      </c>
      <c r="E11" s="458">
        <f t="shared" si="1"/>
        <v>12.864098900778494</v>
      </c>
    </row>
    <row r="12" spans="1:10">
      <c r="A12" s="436" t="s">
        <v>47</v>
      </c>
      <c r="B12" s="464">
        <f>SUM(B8:B11)</f>
        <v>3007</v>
      </c>
      <c r="C12" s="464">
        <f t="shared" ref="C12:E12" si="2">SUM(C8:C11)</f>
        <v>100</v>
      </c>
      <c r="D12" s="464">
        <f>SUM(D8:D11)</f>
        <v>34297</v>
      </c>
      <c r="E12" s="464">
        <f t="shared" si="2"/>
        <v>100</v>
      </c>
    </row>
    <row r="13" spans="1:10">
      <c r="A13" s="94"/>
      <c r="B13" s="87"/>
      <c r="C13" s="84"/>
      <c r="D13" s="596"/>
      <c r="E13" s="85"/>
    </row>
    <row r="14" spans="1:10">
      <c r="A14" s="10"/>
      <c r="B14" s="10"/>
      <c r="C14" s="10"/>
      <c r="D14" s="10"/>
      <c r="E14" s="10"/>
    </row>
    <row r="15" spans="1:10">
      <c r="A15" s="460" t="s">
        <v>145</v>
      </c>
      <c r="B15" s="456"/>
      <c r="C15" s="456"/>
      <c r="D15" s="456"/>
      <c r="E15" s="456"/>
    </row>
    <row r="16" spans="1:10" s="160" customFormat="1">
      <c r="A16" s="5" t="s">
        <v>686</v>
      </c>
      <c r="B16" s="10"/>
      <c r="C16" s="10"/>
      <c r="D16" s="148"/>
      <c r="E16" s="10"/>
    </row>
    <row r="17" spans="1:5" s="160" customFormat="1">
      <c r="A17" s="5"/>
      <c r="B17" s="10"/>
      <c r="C17" s="10"/>
      <c r="D17" s="148"/>
      <c r="E17" s="10"/>
    </row>
    <row r="18" spans="1:5">
      <c r="A18" s="366" t="s">
        <v>144</v>
      </c>
      <c r="B18" s="366" t="s">
        <v>305</v>
      </c>
      <c r="C18" s="366" t="s">
        <v>105</v>
      </c>
      <c r="D18" s="366" t="s">
        <v>125</v>
      </c>
      <c r="E18" s="366" t="s">
        <v>105</v>
      </c>
    </row>
    <row r="19" spans="1:5">
      <c r="A19" s="143" t="s">
        <v>304</v>
      </c>
      <c r="B19" s="164">
        <v>155</v>
      </c>
      <c r="C19" s="201">
        <f>B19*100/$B$23</f>
        <v>51.324503311258276</v>
      </c>
      <c r="D19" s="330">
        <v>446</v>
      </c>
      <c r="E19" s="185">
        <f>D19*100/$D$23</f>
        <v>1.4889994324441624</v>
      </c>
    </row>
    <row r="20" spans="1:5">
      <c r="A20" s="143" t="s">
        <v>302</v>
      </c>
      <c r="B20" s="164">
        <v>65</v>
      </c>
      <c r="C20" s="201">
        <f t="shared" ref="C20:C22" si="3">B20*100/$B$23</f>
        <v>21.523178807947019</v>
      </c>
      <c r="D20" s="330">
        <v>1569</v>
      </c>
      <c r="E20" s="185">
        <f t="shared" ref="E20:E22" si="4">D20*100/$D$23</f>
        <v>5.2382065235535675</v>
      </c>
    </row>
    <row r="21" spans="1:5">
      <c r="A21" s="143" t="s">
        <v>303</v>
      </c>
      <c r="B21" s="164">
        <v>55</v>
      </c>
      <c r="C21" s="201">
        <f t="shared" si="3"/>
        <v>18.211920529801326</v>
      </c>
      <c r="D21" s="330">
        <v>5867</v>
      </c>
      <c r="E21" s="185">
        <f t="shared" si="4"/>
        <v>19.587353520515475</v>
      </c>
    </row>
    <row r="22" spans="1:5">
      <c r="A22" s="434" t="s">
        <v>301</v>
      </c>
      <c r="B22" s="462">
        <v>27</v>
      </c>
      <c r="C22" s="201">
        <f t="shared" si="3"/>
        <v>8.9403973509933774</v>
      </c>
      <c r="D22" s="595">
        <v>22071</v>
      </c>
      <c r="E22" s="185">
        <f t="shared" si="4"/>
        <v>73.68544052348679</v>
      </c>
    </row>
    <row r="23" spans="1:5">
      <c r="A23" s="436" t="s">
        <v>47</v>
      </c>
      <c r="B23" s="464">
        <f>SUM(B19:B22)</f>
        <v>302</v>
      </c>
      <c r="C23" s="572">
        <f>SUM(C19:C22)</f>
        <v>100</v>
      </c>
      <c r="D23" s="559">
        <f>SUM(D19:D22)</f>
        <v>29953</v>
      </c>
      <c r="E23" s="572">
        <f>SUM(E19:E22)</f>
        <v>100</v>
      </c>
    </row>
    <row r="24" spans="1:5">
      <c r="A24" s="10"/>
      <c r="B24" s="10"/>
      <c r="C24" s="10"/>
      <c r="D24" s="10"/>
      <c r="E24" s="10"/>
    </row>
    <row r="25" spans="1:5">
      <c r="A25" s="459" t="s">
        <v>109</v>
      </c>
      <c r="B25" s="10"/>
      <c r="C25" s="10"/>
      <c r="D25" s="10"/>
      <c r="E25" s="10"/>
    </row>
  </sheetData>
  <customSheetViews>
    <customSheetView guid="{00BB8FC3-0B7F-4485-B1CD-FF164EC3970C}" scale="98" fitToPage="1">
      <selection activeCell="G8" sqref="G8"/>
      <pageMargins left="0.7" right="0.7" top="0.78740157499999996" bottom="0.78740157499999996" header="0.3" footer="0.3"/>
      <pageSetup paperSize="9" scale="92" orientation="portrait" r:id="rId1"/>
    </customSheetView>
    <customSheetView guid="{5DDDE19F-F10F-4514-A83C-F71CDD7BE512}" scale="98" fitToPage="1">
      <selection activeCell="G8" sqref="G8"/>
      <pageMargins left="0.7" right="0.7" top="0.78740157499999996" bottom="0.78740157499999996" header="0.3" footer="0.3"/>
      <pageSetup paperSize="9" scale="92" orientation="portrait" r:id="rId2"/>
    </customSheetView>
    <customSheetView guid="{9A6D0F5E-68D7-4772-8712-9975EE0A4B2C}" scale="98" fitToPage="1">
      <selection activeCell="G8" sqref="G8"/>
      <pageMargins left="0.7" right="0.7" top="0.78740157499999996" bottom="0.78740157499999996" header="0.3" footer="0.3"/>
      <pageSetup paperSize="9" scale="92" orientation="portrait" r:id="rId3"/>
    </customSheetView>
  </customSheetViews>
  <mergeCells count="5">
    <mergeCell ref="F1:G1"/>
    <mergeCell ref="H1:I1"/>
    <mergeCell ref="F2:G2"/>
    <mergeCell ref="H2:I2"/>
    <mergeCell ref="A1:E2"/>
  </mergeCells>
  <pageMargins left="0.7" right="0.7" top="0.78740157499999996" bottom="0.78740157499999996" header="0.3" footer="0.3"/>
  <pageSetup paperSize="9" scale="62" orientation="portrait" r:id="rId4"/>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26"/>
  <sheetViews>
    <sheetView workbookViewId="0">
      <selection activeCell="G29" sqref="G29"/>
    </sheetView>
  </sheetViews>
  <sheetFormatPr baseColWidth="10" defaultRowHeight="15"/>
  <cols>
    <col min="1" max="1" width="32.42578125" customWidth="1"/>
    <col min="2" max="2" width="20.85546875" customWidth="1"/>
    <col min="3" max="3" width="10.85546875"/>
    <col min="4" max="4" width="18" customWidth="1"/>
  </cols>
  <sheetData>
    <row r="1" spans="1:6" ht="39.75" customHeight="1">
      <c r="A1" s="796" t="s">
        <v>142</v>
      </c>
      <c r="B1" s="796"/>
      <c r="C1" s="796"/>
      <c r="D1" s="796"/>
      <c r="E1" s="796"/>
    </row>
    <row r="2" spans="1:6">
      <c r="A2" s="796"/>
      <c r="B2" s="796"/>
      <c r="C2" s="796"/>
      <c r="D2" s="796"/>
      <c r="E2" s="796"/>
    </row>
    <row r="3" spans="1:6" s="160" customFormat="1" ht="15.75">
      <c r="A3" s="26"/>
      <c r="B3" s="21"/>
      <c r="C3" s="21"/>
      <c r="D3" s="41"/>
      <c r="E3" s="2"/>
    </row>
    <row r="4" spans="1:6">
      <c r="A4" s="460" t="s">
        <v>146</v>
      </c>
      <c r="B4" s="460"/>
      <c r="C4" s="456"/>
      <c r="D4" s="593"/>
      <c r="E4" s="414"/>
    </row>
    <row r="5" spans="1:6">
      <c r="A5" s="5" t="s">
        <v>686</v>
      </c>
      <c r="B5" s="10"/>
      <c r="C5" s="10"/>
      <c r="D5" s="148"/>
      <c r="E5" s="240"/>
    </row>
    <row r="6" spans="1:6" s="160" customFormat="1">
      <c r="A6" s="5"/>
      <c r="B6" s="10"/>
      <c r="C6" s="10"/>
      <c r="D6" s="148"/>
      <c r="E6" s="240"/>
    </row>
    <row r="7" spans="1:6">
      <c r="A7" s="366" t="s">
        <v>144</v>
      </c>
      <c r="B7" s="366" t="s">
        <v>305</v>
      </c>
      <c r="C7" s="366" t="s">
        <v>105</v>
      </c>
      <c r="D7" s="594" t="s">
        <v>125</v>
      </c>
      <c r="E7" s="366" t="s">
        <v>105</v>
      </c>
    </row>
    <row r="8" spans="1:6">
      <c r="A8" s="143" t="s">
        <v>304</v>
      </c>
      <c r="B8" s="164">
        <v>1569</v>
      </c>
      <c r="C8" s="201">
        <f>B8*100/$B$12</f>
        <v>79.242424242424249</v>
      </c>
      <c r="D8" s="330">
        <v>4549</v>
      </c>
      <c r="E8" s="185">
        <f>D8*100/$D$12</f>
        <v>21.745781347100721</v>
      </c>
    </row>
    <row r="9" spans="1:6">
      <c r="A9" s="143" t="s">
        <v>302</v>
      </c>
      <c r="B9" s="164">
        <v>353</v>
      </c>
      <c r="C9" s="201">
        <f t="shared" ref="C9:C11" si="0">B9*100/$B$12</f>
        <v>17.828282828282827</v>
      </c>
      <c r="D9" s="330">
        <v>7139</v>
      </c>
      <c r="E9" s="185">
        <f t="shared" ref="E9:E11" si="1">D9*100/$D$12</f>
        <v>34.126870309288208</v>
      </c>
    </row>
    <row r="10" spans="1:6">
      <c r="A10" s="143" t="s">
        <v>303</v>
      </c>
      <c r="B10" s="164">
        <v>52</v>
      </c>
      <c r="C10" s="201">
        <f t="shared" si="0"/>
        <v>2.6262626262626263</v>
      </c>
      <c r="D10" s="330">
        <v>4932</v>
      </c>
      <c r="E10" s="185">
        <f t="shared" si="1"/>
        <v>23.576652803671305</v>
      </c>
    </row>
    <row r="11" spans="1:6">
      <c r="A11" s="434" t="s">
        <v>301</v>
      </c>
      <c r="B11" s="462">
        <v>6</v>
      </c>
      <c r="C11" s="458">
        <f t="shared" si="0"/>
        <v>0.30303030303030304</v>
      </c>
      <c r="D11" s="595">
        <v>4299</v>
      </c>
      <c r="E11" s="185">
        <f t="shared" si="1"/>
        <v>20.550695539939767</v>
      </c>
    </row>
    <row r="12" spans="1:6">
      <c r="A12" s="436" t="s">
        <v>47</v>
      </c>
      <c r="B12" s="464">
        <f>SUM(B8:B11)</f>
        <v>1980</v>
      </c>
      <c r="C12" s="573">
        <f>SUM(C8:C11)</f>
        <v>100</v>
      </c>
      <c r="D12" s="559">
        <f>SUM(D8:D11)</f>
        <v>20919</v>
      </c>
      <c r="E12" s="572">
        <f>SUM(E8:E11)</f>
        <v>100</v>
      </c>
    </row>
    <row r="13" spans="1:6">
      <c r="A13" s="94"/>
      <c r="B13" s="87"/>
      <c r="C13" s="84"/>
      <c r="D13" s="596"/>
      <c r="E13" s="85"/>
    </row>
    <row r="14" spans="1:6">
      <c r="A14" s="10"/>
      <c r="B14" s="10"/>
      <c r="C14" s="10"/>
      <c r="D14" s="148"/>
      <c r="E14" s="240"/>
    </row>
    <row r="15" spans="1:6">
      <c r="A15" s="10"/>
      <c r="B15" s="10"/>
      <c r="C15" s="10"/>
      <c r="D15" s="10"/>
      <c r="E15" s="10"/>
    </row>
    <row r="16" spans="1:6">
      <c r="A16" s="460" t="s">
        <v>147</v>
      </c>
      <c r="B16" s="460"/>
      <c r="C16" s="456"/>
      <c r="D16" s="456"/>
      <c r="E16" s="414"/>
      <c r="F16" s="2"/>
    </row>
    <row r="17" spans="1:6" s="160" customFormat="1">
      <c r="A17" s="5" t="s">
        <v>686</v>
      </c>
      <c r="B17" s="10"/>
      <c r="C17" s="10"/>
      <c r="D17" s="148"/>
      <c r="E17" s="240"/>
    </row>
    <row r="18" spans="1:6">
      <c r="A18" s="5"/>
      <c r="B18" s="5"/>
      <c r="C18" s="10"/>
      <c r="D18" s="10"/>
      <c r="E18" s="240"/>
      <c r="F18" s="2"/>
    </row>
    <row r="19" spans="1:6">
      <c r="A19" s="366" t="s">
        <v>144</v>
      </c>
      <c r="B19" s="366" t="s">
        <v>305</v>
      </c>
      <c r="C19" s="366" t="s">
        <v>105</v>
      </c>
      <c r="D19" s="594" t="s">
        <v>125</v>
      </c>
      <c r="E19" s="366" t="s">
        <v>105</v>
      </c>
      <c r="F19" s="2"/>
    </row>
    <row r="20" spans="1:6">
      <c r="A20" s="143" t="s">
        <v>304</v>
      </c>
      <c r="B20" s="164">
        <v>16</v>
      </c>
      <c r="C20" s="201">
        <f>B20*100/$B$24</f>
        <v>28.07017543859649</v>
      </c>
      <c r="D20" s="330">
        <v>55</v>
      </c>
      <c r="E20" s="185">
        <f>D20*100/$D$24</f>
        <v>1.2713823393435044</v>
      </c>
      <c r="F20" s="2"/>
    </row>
    <row r="21" spans="1:6">
      <c r="A21" s="143" t="s">
        <v>302</v>
      </c>
      <c r="B21" s="164">
        <v>20</v>
      </c>
      <c r="C21" s="201">
        <f t="shared" ref="C21:C23" si="2">B21*100/$B$24</f>
        <v>35.087719298245617</v>
      </c>
      <c r="D21" s="330">
        <v>495</v>
      </c>
      <c r="E21" s="185">
        <f t="shared" ref="E21:E23" si="3">D21*100/$D$24</f>
        <v>11.442441054091539</v>
      </c>
      <c r="F21" s="2"/>
    </row>
    <row r="22" spans="1:6">
      <c r="A22" s="143" t="s">
        <v>303</v>
      </c>
      <c r="B22" s="164">
        <v>18</v>
      </c>
      <c r="C22" s="201">
        <f t="shared" si="2"/>
        <v>31.578947368421051</v>
      </c>
      <c r="D22" s="330">
        <v>2375</v>
      </c>
      <c r="E22" s="185">
        <f t="shared" si="3"/>
        <v>54.90060101710587</v>
      </c>
      <c r="F22" s="2"/>
    </row>
    <row r="23" spans="1:6">
      <c r="A23" s="434" t="s">
        <v>301</v>
      </c>
      <c r="B23" s="462">
        <v>3</v>
      </c>
      <c r="C23" s="458">
        <f t="shared" si="2"/>
        <v>5.2631578947368425</v>
      </c>
      <c r="D23" s="595">
        <v>1402</v>
      </c>
      <c r="E23" s="185">
        <f t="shared" si="3"/>
        <v>32.408691631992603</v>
      </c>
      <c r="F23" s="2"/>
    </row>
    <row r="24" spans="1:6">
      <c r="A24" s="436" t="s">
        <v>47</v>
      </c>
      <c r="B24" s="464">
        <f>SUM(B20:B23)</f>
        <v>57</v>
      </c>
      <c r="C24" s="573">
        <f>SUM(C20:C23)</f>
        <v>100</v>
      </c>
      <c r="D24" s="559">
        <v>4326</v>
      </c>
      <c r="E24" s="572">
        <f>SUM(E20:E23)</f>
        <v>100.02311604253353</v>
      </c>
      <c r="F24" s="2"/>
    </row>
    <row r="25" spans="1:6" ht="15.75">
      <c r="A25" s="49"/>
      <c r="B25" s="105"/>
      <c r="C25" s="84"/>
      <c r="D25" s="106"/>
      <c r="E25" s="85"/>
      <c r="F25" s="2"/>
    </row>
    <row r="26" spans="1:6" ht="15.75">
      <c r="A26" s="350" t="s">
        <v>109</v>
      </c>
      <c r="B26" s="21"/>
      <c r="C26" s="21"/>
      <c r="D26" s="21"/>
      <c r="E26" s="2"/>
      <c r="F26" s="2"/>
    </row>
  </sheetData>
  <customSheetViews>
    <customSheetView guid="{00BB8FC3-0B7F-4485-B1CD-FF164EC3970C}" fitToPage="1">
      <selection activeCell="D25" sqref="D25"/>
      <pageMargins left="0.7" right="0.7" top="0.78740157499999996" bottom="0.78740157499999996" header="0.3" footer="0.3"/>
      <pageSetup paperSize="9" scale="93" orientation="portrait" r:id="rId1"/>
    </customSheetView>
    <customSheetView guid="{5DDDE19F-F10F-4514-A83C-F71CDD7BE512}" fitToPage="1">
      <selection activeCell="D25" sqref="D25"/>
      <pageMargins left="0.7" right="0.7" top="0.78740157499999996" bottom="0.78740157499999996" header="0.3" footer="0.3"/>
      <pageSetup paperSize="9" scale="93" orientation="portrait" r:id="rId2"/>
    </customSheetView>
    <customSheetView guid="{9A6D0F5E-68D7-4772-8712-9975EE0A4B2C}" fitToPage="1">
      <selection activeCell="D25" sqref="D25"/>
      <pageMargins left="0.7" right="0.7" top="0.78740157499999996" bottom="0.78740157499999996" header="0.3" footer="0.3"/>
      <pageSetup paperSize="9" scale="93" orientation="portrait" r:id="rId3"/>
    </customSheetView>
  </customSheetViews>
  <mergeCells count="1">
    <mergeCell ref="A1:E2"/>
  </mergeCells>
  <pageMargins left="0.7" right="0.7" top="0.78740157499999996" bottom="0.78740157499999996" header="0.3" footer="0.3"/>
  <pageSetup paperSize="9" scale="93"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8"/>
  <sheetViews>
    <sheetView workbookViewId="0">
      <selection activeCell="I29" sqref="I29"/>
    </sheetView>
  </sheetViews>
  <sheetFormatPr baseColWidth="10" defaultRowHeight="15"/>
  <cols>
    <col min="1" max="1" width="30" customWidth="1"/>
    <col min="2" max="2" width="21.140625" customWidth="1"/>
    <col min="3" max="3" width="10.85546875"/>
    <col min="4" max="4" width="18.85546875" customWidth="1"/>
  </cols>
  <sheetData>
    <row r="1" spans="1:5" ht="39.75" customHeight="1">
      <c r="A1" s="796" t="s">
        <v>142</v>
      </c>
      <c r="B1" s="796"/>
      <c r="C1" s="796"/>
      <c r="D1" s="796"/>
      <c r="E1" s="796"/>
    </row>
    <row r="2" spans="1:5" ht="15" customHeight="1">
      <c r="A2" s="796"/>
      <c r="B2" s="796"/>
      <c r="C2" s="796"/>
      <c r="D2" s="796"/>
      <c r="E2" s="796"/>
    </row>
    <row r="3" spans="1:5" s="160" customFormat="1" ht="15" customHeight="1">
      <c r="A3" s="665"/>
      <c r="B3" s="665"/>
      <c r="C3" s="665"/>
      <c r="D3" s="665"/>
      <c r="E3" s="665"/>
    </row>
    <row r="4" spans="1:5" ht="15.75">
      <c r="A4" s="436" t="s">
        <v>148</v>
      </c>
      <c r="B4" s="667"/>
      <c r="C4" s="668"/>
      <c r="D4" s="669"/>
      <c r="E4" s="670"/>
    </row>
    <row r="5" spans="1:5" ht="15.75">
      <c r="A5" s="426" t="s">
        <v>686</v>
      </c>
      <c r="B5" s="426"/>
      <c r="C5" s="308"/>
      <c r="D5" s="427"/>
      <c r="E5" s="36"/>
    </row>
    <row r="6" spans="1:5" ht="15.75">
      <c r="A6" s="428"/>
      <c r="B6" s="428"/>
      <c r="C6" s="48"/>
      <c r="D6" s="427"/>
      <c r="E6" s="36"/>
    </row>
    <row r="7" spans="1:5">
      <c r="A7" s="366" t="s">
        <v>144</v>
      </c>
      <c r="B7" s="366" t="s">
        <v>305</v>
      </c>
      <c r="C7" s="366" t="s">
        <v>105</v>
      </c>
      <c r="D7" s="594" t="s">
        <v>125</v>
      </c>
      <c r="E7" s="366" t="s">
        <v>105</v>
      </c>
    </row>
    <row r="8" spans="1:5">
      <c r="A8" s="143" t="s">
        <v>304</v>
      </c>
      <c r="B8" s="164">
        <v>305</v>
      </c>
      <c r="C8" s="201">
        <f>B8*100/$B$12</f>
        <v>65.310492505353324</v>
      </c>
      <c r="D8" s="330">
        <v>979</v>
      </c>
      <c r="E8" s="185">
        <f>D8*100/$D$12</f>
        <v>11.035959869236839</v>
      </c>
    </row>
    <row r="9" spans="1:5">
      <c r="A9" s="143" t="s">
        <v>302</v>
      </c>
      <c r="B9" s="164">
        <v>126</v>
      </c>
      <c r="C9" s="201">
        <f>B9*100/$B$12</f>
        <v>26.980728051391864</v>
      </c>
      <c r="D9" s="330">
        <v>2400</v>
      </c>
      <c r="E9" s="185">
        <f>D9*100/$D$12</f>
        <v>27.054447074737912</v>
      </c>
    </row>
    <row r="10" spans="1:5">
      <c r="A10" s="143" t="s">
        <v>303</v>
      </c>
      <c r="B10" s="164">
        <v>30</v>
      </c>
      <c r="C10" s="201">
        <f>B10*100/$B$12</f>
        <v>6.4239828693790146</v>
      </c>
      <c r="D10" s="330">
        <v>2611</v>
      </c>
      <c r="E10" s="185">
        <f>D10*100/$D$12</f>
        <v>29.432983880058618</v>
      </c>
    </row>
    <row r="11" spans="1:5">
      <c r="A11" s="434" t="s">
        <v>301</v>
      </c>
      <c r="B11" s="462">
        <v>6</v>
      </c>
      <c r="C11" s="458">
        <f>B11*100/$B$12</f>
        <v>1.2847965738758029</v>
      </c>
      <c r="D11" s="595">
        <v>2881</v>
      </c>
      <c r="E11" s="185">
        <f>D11*100/$D$12</f>
        <v>32.47660917596663</v>
      </c>
    </row>
    <row r="12" spans="1:5">
      <c r="A12" s="436" t="s">
        <v>47</v>
      </c>
      <c r="B12" s="464">
        <f>SUM(B8:B11)</f>
        <v>467</v>
      </c>
      <c r="C12" s="573">
        <f>SUM(C8:C11)</f>
        <v>100.00000000000001</v>
      </c>
      <c r="D12" s="559">
        <f>SUM(D8:D11)</f>
        <v>8871</v>
      </c>
      <c r="E12" s="572">
        <v>100</v>
      </c>
    </row>
    <row r="13" spans="1:5">
      <c r="A13" s="94"/>
      <c r="B13" s="87"/>
      <c r="C13" s="84"/>
      <c r="D13" s="596"/>
      <c r="E13" s="85"/>
    </row>
    <row r="14" spans="1:5" s="160" customFormat="1">
      <c r="A14" s="10"/>
      <c r="B14" s="10"/>
      <c r="C14" s="10"/>
      <c r="D14" s="148"/>
      <c r="E14" s="240"/>
    </row>
    <row r="15" spans="1:5" s="160" customFormat="1">
      <c r="A15" s="5"/>
      <c r="B15" s="5"/>
      <c r="C15" s="5"/>
      <c r="D15" s="271"/>
      <c r="E15" s="240"/>
    </row>
    <row r="16" spans="1:5" ht="17.25">
      <c r="A16" s="460" t="s">
        <v>488</v>
      </c>
      <c r="B16" s="460"/>
      <c r="C16" s="456"/>
      <c r="D16" s="456"/>
      <c r="E16" s="414"/>
    </row>
    <row r="17" spans="1:8">
      <c r="A17" s="5" t="s">
        <v>686</v>
      </c>
      <c r="B17" s="5"/>
      <c r="C17" s="10"/>
      <c r="D17" s="148"/>
      <c r="E17" s="240"/>
    </row>
    <row r="18" spans="1:8">
      <c r="A18" s="5"/>
      <c r="B18" s="5"/>
      <c r="C18" s="10"/>
      <c r="D18" s="148"/>
      <c r="E18" s="240"/>
    </row>
    <row r="19" spans="1:8">
      <c r="A19" s="366" t="s">
        <v>144</v>
      </c>
      <c r="B19" s="366" t="s">
        <v>305</v>
      </c>
      <c r="C19" s="366" t="s">
        <v>105</v>
      </c>
      <c r="D19" s="594" t="s">
        <v>125</v>
      </c>
      <c r="E19" s="366" t="s">
        <v>105</v>
      </c>
    </row>
    <row r="20" spans="1:8">
      <c r="A20" s="143" t="s">
        <v>304</v>
      </c>
      <c r="B20" s="164">
        <v>1174</v>
      </c>
      <c r="C20" s="201">
        <f>B20*100/$B$24</f>
        <v>72.157344806392132</v>
      </c>
      <c r="D20" s="330">
        <v>3973</v>
      </c>
      <c r="E20" s="185">
        <f>D20*100/$D$24</f>
        <v>21.61588683351469</v>
      </c>
    </row>
    <row r="21" spans="1:8">
      <c r="A21" s="143" t="s">
        <v>302</v>
      </c>
      <c r="B21" s="164">
        <v>384</v>
      </c>
      <c r="C21" s="201">
        <f>B21*100/$B$24</f>
        <v>23.601720958819914</v>
      </c>
      <c r="D21" s="330">
        <v>8005</v>
      </c>
      <c r="E21" s="185">
        <f>D21*100/$D$24</f>
        <v>43.552774755168663</v>
      </c>
    </row>
    <row r="22" spans="1:8">
      <c r="A22" s="143" t="s">
        <v>485</v>
      </c>
      <c r="B22" s="164">
        <v>66</v>
      </c>
      <c r="C22" s="201">
        <f>B22*100/$B$24</f>
        <v>4.0565457897971724</v>
      </c>
      <c r="D22" s="330">
        <v>5379</v>
      </c>
      <c r="E22" s="185">
        <f>D22*100/$D$24</f>
        <v>29.265505984766051</v>
      </c>
    </row>
    <row r="23" spans="1:8" s="160" customFormat="1">
      <c r="A23" s="143" t="s">
        <v>687</v>
      </c>
      <c r="B23" s="164">
        <v>3</v>
      </c>
      <c r="C23" s="201">
        <f>B23*100/$B$24</f>
        <v>0.18438844499078058</v>
      </c>
      <c r="D23" s="330">
        <v>1023</v>
      </c>
      <c r="E23" s="185">
        <f>D23*100/$D$24</f>
        <v>5.5658324265505987</v>
      </c>
    </row>
    <row r="24" spans="1:8">
      <c r="A24" s="436" t="s">
        <v>47</v>
      </c>
      <c r="B24" s="464">
        <f>SUM(B20:B23)</f>
        <v>1627</v>
      </c>
      <c r="C24" s="573">
        <f>SUM(C20:C22)</f>
        <v>99.815611555009212</v>
      </c>
      <c r="D24" s="559">
        <f>SUM(D20:D23)</f>
        <v>18380</v>
      </c>
      <c r="E24" s="572">
        <v>100</v>
      </c>
    </row>
    <row r="25" spans="1:8" ht="15" customHeight="1">
      <c r="A25" s="2"/>
      <c r="B25" s="2"/>
      <c r="C25" s="2"/>
      <c r="D25" s="5"/>
      <c r="E25" s="2"/>
      <c r="F25" s="203"/>
      <c r="G25" s="203"/>
      <c r="H25" s="203"/>
    </row>
    <row r="26" spans="1:8">
      <c r="A26" s="459" t="s">
        <v>109</v>
      </c>
      <c r="B26" s="160"/>
      <c r="C26" s="160"/>
      <c r="D26" s="160"/>
      <c r="E26" s="160"/>
    </row>
    <row r="28" spans="1:8">
      <c r="A28" s="160"/>
      <c r="B28" s="160"/>
      <c r="C28" s="160"/>
      <c r="D28" s="160"/>
      <c r="E28" s="160"/>
    </row>
  </sheetData>
  <customSheetViews>
    <customSheetView guid="{00BB8FC3-0B7F-4485-B1CD-FF164EC3970C}" fitToPage="1">
      <selection activeCell="B24" sqref="B24"/>
      <pageMargins left="0.7" right="0.7" top="0.78740157499999996" bottom="0.78740157499999996" header="0.3" footer="0.3"/>
      <pageSetup paperSize="9" scale="94" orientation="portrait" r:id="rId1"/>
    </customSheetView>
    <customSheetView guid="{5DDDE19F-F10F-4514-A83C-F71CDD7BE512}" fitToPage="1">
      <selection activeCell="B24" sqref="B24"/>
      <pageMargins left="0.7" right="0.7" top="0.78740157499999996" bottom="0.78740157499999996" header="0.3" footer="0.3"/>
      <pageSetup paperSize="9" scale="94" orientation="portrait" r:id="rId2"/>
    </customSheetView>
    <customSheetView guid="{9A6D0F5E-68D7-4772-8712-9975EE0A4B2C}" fitToPage="1">
      <selection activeCell="B24" sqref="B24"/>
      <pageMargins left="0.7" right="0.7" top="0.78740157499999996" bottom="0.78740157499999996" header="0.3" footer="0.3"/>
      <pageSetup paperSize="9" scale="94" orientation="portrait" r:id="rId3"/>
    </customSheetView>
  </customSheetViews>
  <mergeCells count="1">
    <mergeCell ref="A1:E2"/>
  </mergeCells>
  <pageMargins left="0.7" right="0.7" top="0.78740157499999996" bottom="0.78740157499999996" header="0.3" footer="0.3"/>
  <pageSetup paperSize="9" scale="94"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2"/>
  <sheetViews>
    <sheetView topLeftCell="A38" zoomScaleNormal="100" workbookViewId="0">
      <selection activeCell="B35" sqref="B35"/>
    </sheetView>
  </sheetViews>
  <sheetFormatPr baseColWidth="10" defaultRowHeight="15"/>
  <cols>
    <col min="1" max="1" width="3.7109375" style="160" customWidth="1"/>
    <col min="2" max="2" width="52.85546875" bestFit="1" customWidth="1"/>
    <col min="3" max="3" width="13.7109375" customWidth="1"/>
    <col min="4" max="4" width="13.140625" customWidth="1"/>
  </cols>
  <sheetData>
    <row r="1" spans="2:9" ht="39.75" customHeight="1">
      <c r="B1" s="792" t="s">
        <v>613</v>
      </c>
      <c r="C1" s="792"/>
      <c r="D1" s="792"/>
      <c r="E1" s="792"/>
      <c r="F1" s="792"/>
      <c r="G1" s="792"/>
      <c r="H1" s="792"/>
      <c r="I1" s="160"/>
    </row>
    <row r="2" spans="2:9" s="160" customFormat="1" ht="13.5" customHeight="1"/>
    <row r="3" spans="2:9" s="160" customFormat="1" ht="27" customHeight="1">
      <c r="B3" s="793" t="s">
        <v>614</v>
      </c>
      <c r="C3" s="793"/>
      <c r="D3" s="793"/>
      <c r="E3" s="793"/>
      <c r="F3" s="793"/>
      <c r="G3" s="793"/>
      <c r="H3" s="793"/>
    </row>
    <row r="4" spans="2:9">
      <c r="B4" s="634"/>
      <c r="C4" s="86"/>
      <c r="D4" s="10" t="s">
        <v>0</v>
      </c>
      <c r="E4" s="10"/>
      <c r="F4" s="10"/>
      <c r="G4" s="10"/>
      <c r="H4" s="10"/>
    </row>
    <row r="5" spans="2:9" s="160" customFormat="1">
      <c r="B5" s="635" t="s">
        <v>616</v>
      </c>
      <c r="C5" s="636"/>
      <c r="D5" s="308"/>
      <c r="E5" s="308"/>
      <c r="F5" s="308"/>
      <c r="G5" s="308"/>
      <c r="H5" s="308"/>
    </row>
    <row r="6" spans="2:9" s="130" customFormat="1" ht="9" customHeight="1">
      <c r="B6" s="637"/>
      <c r="C6" s="638"/>
      <c r="D6" s="308"/>
      <c r="E6" s="308"/>
      <c r="F6" s="308"/>
      <c r="G6" s="308"/>
      <c r="H6" s="308"/>
    </row>
    <row r="7" spans="2:9">
      <c r="B7" s="640" t="s">
        <v>240</v>
      </c>
      <c r="C7" s="640"/>
      <c r="D7" s="10"/>
      <c r="E7" s="10"/>
      <c r="F7" s="10"/>
      <c r="G7" s="10"/>
      <c r="H7" s="10"/>
    </row>
    <row r="8" spans="2:9">
      <c r="B8" s="641" t="s">
        <v>15</v>
      </c>
      <c r="C8" s="240"/>
      <c r="D8" s="10"/>
      <c r="E8" s="10"/>
      <c r="F8" s="10"/>
      <c r="G8" s="10"/>
      <c r="H8" s="10"/>
    </row>
    <row r="9" spans="2:9">
      <c r="B9" s="641" t="s">
        <v>10</v>
      </c>
      <c r="C9" s="64"/>
      <c r="D9" s="10"/>
      <c r="E9" s="10"/>
      <c r="F9" s="10"/>
      <c r="G9" s="10"/>
      <c r="H9" s="10"/>
    </row>
    <row r="10" spans="2:9" ht="9" customHeight="1">
      <c r="B10" s="639"/>
      <c r="C10" s="240"/>
      <c r="D10" s="10"/>
      <c r="E10" s="10"/>
      <c r="F10" s="10"/>
      <c r="G10" s="10"/>
      <c r="H10" s="10"/>
    </row>
    <row r="11" spans="2:9">
      <c r="B11" s="640" t="s">
        <v>50</v>
      </c>
      <c r="C11" s="640"/>
      <c r="D11" s="10"/>
      <c r="E11" s="10"/>
      <c r="F11" s="10"/>
      <c r="G11" s="10"/>
      <c r="H11" s="10"/>
    </row>
    <row r="12" spans="2:9">
      <c r="B12" s="641" t="s">
        <v>50</v>
      </c>
      <c r="C12" s="64"/>
      <c r="D12" s="10"/>
      <c r="E12" s="10"/>
      <c r="F12" s="10"/>
      <c r="G12" s="10"/>
      <c r="H12" s="10"/>
    </row>
    <row r="13" spans="2:9">
      <c r="B13" s="641" t="s">
        <v>570</v>
      </c>
      <c r="C13" s="64"/>
      <c r="D13" s="10"/>
      <c r="E13" s="10"/>
      <c r="F13" s="10"/>
      <c r="G13" s="10"/>
      <c r="H13" s="10"/>
    </row>
    <row r="14" spans="2:9">
      <c r="B14" s="111" t="s">
        <v>0</v>
      </c>
      <c r="C14" s="64"/>
      <c r="D14" s="10"/>
      <c r="E14" s="10"/>
      <c r="F14" s="10"/>
      <c r="G14" s="10"/>
      <c r="H14" s="10"/>
    </row>
    <row r="15" spans="2:9">
      <c r="B15" s="641" t="s">
        <v>571</v>
      </c>
      <c r="C15" s="64"/>
      <c r="D15" s="10"/>
      <c r="E15" s="10"/>
      <c r="F15" s="10"/>
      <c r="G15" s="10"/>
      <c r="H15" s="10"/>
    </row>
    <row r="16" spans="2:9">
      <c r="B16" s="641" t="s">
        <v>572</v>
      </c>
      <c r="C16" s="64"/>
      <c r="D16" s="10"/>
      <c r="E16" s="10"/>
      <c r="F16" s="10"/>
      <c r="G16" s="10"/>
      <c r="H16" s="10"/>
    </row>
    <row r="17" spans="2:13">
      <c r="B17" s="111" t="s">
        <v>0</v>
      </c>
      <c r="C17" s="64"/>
      <c r="D17" s="10"/>
      <c r="E17" s="10"/>
      <c r="F17" s="10"/>
      <c r="G17" s="10"/>
      <c r="H17" s="10"/>
    </row>
    <row r="18" spans="2:13">
      <c r="B18" s="640" t="s">
        <v>615</v>
      </c>
      <c r="C18" s="642"/>
      <c r="D18" s="10"/>
      <c r="E18" s="10"/>
      <c r="F18" s="10"/>
      <c r="G18" s="10"/>
      <c r="H18" s="10"/>
    </row>
    <row r="19" spans="2:13">
      <c r="B19" s="641" t="s">
        <v>573</v>
      </c>
      <c r="C19" s="64"/>
      <c r="D19" s="10"/>
      <c r="E19" s="10"/>
      <c r="F19" s="10"/>
      <c r="G19" s="10"/>
      <c r="H19" s="10"/>
    </row>
    <row r="20" spans="2:13">
      <c r="B20" s="641" t="s">
        <v>574</v>
      </c>
      <c r="C20" s="64"/>
      <c r="D20" s="10"/>
      <c r="E20" s="10"/>
      <c r="F20" s="10"/>
      <c r="G20" s="10"/>
      <c r="H20" s="10"/>
    </row>
    <row r="21" spans="2:13">
      <c r="B21" s="111"/>
      <c r="C21" s="240"/>
      <c r="D21" s="10"/>
      <c r="E21" s="10"/>
      <c r="F21" s="10"/>
      <c r="G21" s="10"/>
      <c r="H21" s="10"/>
      <c r="M21" s="160"/>
    </row>
    <row r="22" spans="2:13">
      <c r="B22" s="640" t="s">
        <v>239</v>
      </c>
      <c r="C22" s="640"/>
      <c r="D22" s="10"/>
      <c r="E22" s="10"/>
      <c r="F22" s="10"/>
      <c r="G22" s="10"/>
      <c r="H22" s="10"/>
      <c r="I22" s="160"/>
      <c r="J22" s="160"/>
      <c r="K22" s="160"/>
      <c r="L22" s="160"/>
      <c r="M22" s="160"/>
    </row>
    <row r="23" spans="2:13">
      <c r="B23" s="641" t="s">
        <v>575</v>
      </c>
      <c r="C23" s="64"/>
      <c r="D23" s="10"/>
      <c r="E23" s="10"/>
      <c r="F23" s="10"/>
      <c r="G23" s="10"/>
      <c r="H23" s="10"/>
    </row>
    <row r="24" spans="2:13">
      <c r="B24" s="641" t="s">
        <v>576</v>
      </c>
      <c r="C24" s="64"/>
      <c r="D24" s="10"/>
      <c r="E24" s="10"/>
      <c r="F24" s="10"/>
      <c r="G24" s="10"/>
      <c r="H24" s="10"/>
    </row>
    <row r="25" spans="2:13" s="160" customFormat="1">
      <c r="B25" s="111" t="s">
        <v>0</v>
      </c>
      <c r="C25" s="64"/>
      <c r="D25" s="10"/>
      <c r="E25" s="10"/>
      <c r="F25" s="10"/>
      <c r="G25" s="10"/>
      <c r="H25" s="10"/>
    </row>
    <row r="26" spans="2:13">
      <c r="B26" s="111" t="s">
        <v>0</v>
      </c>
      <c r="C26" s="643"/>
      <c r="D26" s="10"/>
      <c r="E26" s="10"/>
      <c r="F26" s="10"/>
      <c r="G26" s="10"/>
      <c r="H26" s="10"/>
    </row>
    <row r="27" spans="2:13">
      <c r="B27" s="641" t="s">
        <v>578</v>
      </c>
      <c r="C27" s="64"/>
      <c r="D27" s="10"/>
      <c r="E27" s="10"/>
      <c r="F27" s="10"/>
      <c r="G27" s="10"/>
      <c r="H27" s="10"/>
    </row>
    <row r="28" spans="2:13" s="160" customFormat="1">
      <c r="B28" s="641" t="s">
        <v>577</v>
      </c>
      <c r="C28" s="64"/>
      <c r="D28" s="10"/>
      <c r="E28" s="10"/>
      <c r="F28" s="10"/>
      <c r="G28" s="10"/>
      <c r="H28" s="10"/>
    </row>
    <row r="29" spans="2:13" s="160" customFormat="1">
      <c r="B29" s="641" t="s">
        <v>579</v>
      </c>
      <c r="C29" s="64"/>
      <c r="D29" s="10"/>
      <c r="E29" s="10"/>
      <c r="F29" s="10"/>
      <c r="G29" s="10"/>
      <c r="H29" s="10"/>
    </row>
    <row r="30" spans="2:13" s="160" customFormat="1">
      <c r="B30" s="641" t="s">
        <v>580</v>
      </c>
      <c r="C30" s="64"/>
      <c r="D30" s="10"/>
      <c r="E30" s="10"/>
      <c r="F30" s="10"/>
      <c r="G30" s="10"/>
      <c r="H30" s="10"/>
    </row>
    <row r="31" spans="2:13">
      <c r="B31" s="641" t="s">
        <v>581</v>
      </c>
      <c r="C31" s="64"/>
      <c r="D31" s="10"/>
      <c r="E31" s="10"/>
      <c r="F31" s="10"/>
      <c r="G31" s="10"/>
      <c r="H31" s="10"/>
    </row>
    <row r="32" spans="2:13" s="160" customFormat="1">
      <c r="B32" s="641" t="s">
        <v>582</v>
      </c>
      <c r="C32" s="64"/>
      <c r="D32" s="10"/>
      <c r="E32" s="10"/>
      <c r="F32" s="10"/>
      <c r="G32" s="10"/>
      <c r="H32" s="10"/>
    </row>
    <row r="33" spans="2:8" s="160" customFormat="1">
      <c r="B33" s="641" t="s">
        <v>583</v>
      </c>
      <c r="C33" s="643"/>
      <c r="D33" s="10"/>
      <c r="E33" s="10"/>
      <c r="F33" s="10"/>
      <c r="G33" s="10"/>
      <c r="H33" s="10"/>
    </row>
    <row r="34" spans="2:8">
      <c r="B34" s="111"/>
      <c r="C34" s="64"/>
      <c r="D34" s="10"/>
      <c r="E34" s="10"/>
      <c r="F34" s="10"/>
      <c r="G34" s="10"/>
      <c r="H34" s="10"/>
    </row>
    <row r="35" spans="2:8">
      <c r="B35" s="640" t="s">
        <v>238</v>
      </c>
      <c r="C35" s="640"/>
      <c r="D35" s="10"/>
      <c r="E35" s="10"/>
      <c r="F35" s="10"/>
      <c r="G35" s="10"/>
      <c r="H35" s="10"/>
    </row>
    <row r="36" spans="2:8">
      <c r="B36" s="641" t="s">
        <v>462</v>
      </c>
      <c r="C36" s="64"/>
      <c r="D36" s="10"/>
      <c r="E36" s="10"/>
      <c r="F36" s="10"/>
      <c r="G36" s="10"/>
      <c r="H36" s="10"/>
    </row>
    <row r="37" spans="2:8">
      <c r="B37" s="641" t="s">
        <v>584</v>
      </c>
      <c r="C37" s="64"/>
      <c r="D37" s="10"/>
      <c r="E37" s="10"/>
      <c r="F37" s="10"/>
      <c r="G37" s="10"/>
      <c r="H37" s="10"/>
    </row>
    <row r="38" spans="2:8" s="160" customFormat="1">
      <c r="B38" s="641" t="s">
        <v>585</v>
      </c>
      <c r="C38" s="64"/>
      <c r="D38" s="10"/>
      <c r="E38" s="10"/>
      <c r="F38" s="10"/>
      <c r="G38" s="10"/>
      <c r="H38" s="10"/>
    </row>
    <row r="39" spans="2:8" s="160" customFormat="1">
      <c r="B39" s="641" t="s">
        <v>586</v>
      </c>
      <c r="C39" s="64"/>
      <c r="D39" s="10"/>
      <c r="E39" s="10"/>
      <c r="F39" s="10"/>
      <c r="G39" s="10"/>
      <c r="H39" s="10"/>
    </row>
    <row r="40" spans="2:8">
      <c r="B40" s="641" t="s">
        <v>587</v>
      </c>
      <c r="C40" s="64"/>
      <c r="D40" s="10"/>
      <c r="E40" s="10"/>
      <c r="F40" s="10"/>
      <c r="G40" s="10"/>
      <c r="H40" s="10"/>
    </row>
    <row r="41" spans="2:8" s="160" customFormat="1">
      <c r="B41" s="641" t="s">
        <v>588</v>
      </c>
      <c r="C41" s="64"/>
      <c r="D41" s="10"/>
      <c r="E41" s="10"/>
      <c r="F41" s="10"/>
      <c r="G41" s="10"/>
      <c r="H41" s="10"/>
    </row>
    <row r="42" spans="2:8">
      <c r="B42" s="641" t="s">
        <v>589</v>
      </c>
      <c r="C42" s="64"/>
      <c r="D42" s="10"/>
      <c r="E42" s="10"/>
      <c r="F42" s="10"/>
      <c r="G42" s="10"/>
      <c r="H42" s="10"/>
    </row>
    <row r="43" spans="2:8" s="160" customFormat="1">
      <c r="B43" s="641" t="s">
        <v>590</v>
      </c>
      <c r="C43" s="64"/>
      <c r="D43" s="10"/>
      <c r="E43" s="10"/>
      <c r="F43" s="10"/>
      <c r="G43" s="10"/>
      <c r="H43" s="10"/>
    </row>
    <row r="44" spans="2:8" s="160" customFormat="1">
      <c r="B44" s="641" t="s">
        <v>591</v>
      </c>
      <c r="C44" s="64"/>
      <c r="D44" s="10"/>
      <c r="E44" s="10"/>
      <c r="F44" s="10"/>
      <c r="G44" s="10"/>
      <c r="H44" s="10"/>
    </row>
    <row r="45" spans="2:8">
      <c r="B45" s="641" t="s">
        <v>592</v>
      </c>
      <c r="C45" s="64"/>
      <c r="D45" s="10"/>
      <c r="E45" s="10"/>
      <c r="F45" s="10"/>
      <c r="G45" s="10"/>
      <c r="H45" s="10"/>
    </row>
    <row r="46" spans="2:8">
      <c r="B46" s="641" t="s">
        <v>112</v>
      </c>
      <c r="C46" s="64"/>
      <c r="D46" s="10"/>
      <c r="E46" s="10"/>
      <c r="F46" s="10"/>
      <c r="G46" s="10"/>
      <c r="H46" s="10"/>
    </row>
    <row r="47" spans="2:8">
      <c r="B47" s="641" t="s">
        <v>593</v>
      </c>
      <c r="C47" s="64"/>
      <c r="D47" s="10"/>
      <c r="E47" s="10"/>
      <c r="F47" s="10"/>
      <c r="G47" s="10"/>
      <c r="H47" s="10"/>
    </row>
    <row r="48" spans="2:8">
      <c r="B48" s="641" t="s">
        <v>594</v>
      </c>
      <c r="C48" s="64"/>
      <c r="D48" s="10"/>
      <c r="E48" s="10"/>
      <c r="F48" s="10"/>
      <c r="G48" s="10"/>
      <c r="H48" s="10"/>
    </row>
    <row r="49" spans="2:8">
      <c r="B49" s="641" t="s">
        <v>595</v>
      </c>
      <c r="C49" s="64"/>
      <c r="D49" s="10"/>
      <c r="E49" s="10"/>
      <c r="F49" s="10"/>
      <c r="G49" s="10"/>
      <c r="H49" s="10"/>
    </row>
    <row r="50" spans="2:8" s="160" customFormat="1">
      <c r="B50" s="641" t="s">
        <v>596</v>
      </c>
      <c r="C50" s="64"/>
      <c r="D50" s="10"/>
      <c r="E50" s="10"/>
      <c r="F50" s="10"/>
      <c r="G50" s="10"/>
      <c r="H50" s="10"/>
    </row>
    <row r="51" spans="2:8">
      <c r="B51" s="641" t="s">
        <v>597</v>
      </c>
      <c r="C51" s="64"/>
      <c r="D51" s="10"/>
      <c r="E51" s="10"/>
      <c r="F51" s="10"/>
      <c r="G51" s="10"/>
      <c r="H51" s="10"/>
    </row>
    <row r="52" spans="2:8">
      <c r="B52" s="641" t="s">
        <v>598</v>
      </c>
      <c r="C52" s="64"/>
      <c r="D52" s="10"/>
      <c r="E52" s="10"/>
      <c r="F52" s="10"/>
      <c r="G52" s="10"/>
      <c r="H52" s="10"/>
    </row>
    <row r="53" spans="2:8">
      <c r="B53" s="641" t="s">
        <v>599</v>
      </c>
      <c r="C53" s="64"/>
      <c r="D53" s="10"/>
      <c r="E53" s="10"/>
      <c r="F53" s="10"/>
      <c r="G53" s="10"/>
      <c r="H53" s="10"/>
    </row>
    <row r="54" spans="2:8" s="160" customFormat="1">
      <c r="B54" s="641" t="s">
        <v>600</v>
      </c>
      <c r="C54" s="64"/>
      <c r="D54" s="10"/>
      <c r="E54" s="10"/>
      <c r="F54" s="10"/>
      <c r="G54" s="10"/>
      <c r="H54" s="10"/>
    </row>
    <row r="55" spans="2:8">
      <c r="B55" s="641" t="s">
        <v>601</v>
      </c>
      <c r="C55" s="64"/>
      <c r="D55" s="10"/>
      <c r="E55" s="10"/>
      <c r="F55" s="10"/>
      <c r="G55" s="10"/>
      <c r="H55" s="10"/>
    </row>
    <row r="56" spans="2:8" s="160" customFormat="1">
      <c r="B56" s="641" t="s">
        <v>602</v>
      </c>
      <c r="C56" s="64"/>
      <c r="D56" s="10"/>
      <c r="E56" s="10"/>
      <c r="F56" s="10"/>
      <c r="G56" s="10"/>
      <c r="H56" s="10"/>
    </row>
    <row r="57" spans="2:8">
      <c r="C57" s="380"/>
    </row>
    <row r="58" spans="2:8">
      <c r="B58" s="377"/>
      <c r="C58" s="381"/>
    </row>
    <row r="59" spans="2:8">
      <c r="B59" s="378"/>
      <c r="C59" s="381"/>
    </row>
    <row r="60" spans="2:8">
      <c r="B60" s="379"/>
      <c r="C60" s="381"/>
    </row>
    <row r="61" spans="2:8">
      <c r="B61" s="373"/>
      <c r="C61" s="373"/>
    </row>
    <row r="62" spans="2:8">
      <c r="B62" s="373"/>
      <c r="C62" s="373"/>
    </row>
  </sheetData>
  <customSheetViews>
    <customSheetView guid="{00BB8FC3-0B7F-4485-B1CD-FF164EC3970C}" fitToPage="1">
      <selection activeCell="A47" sqref="A47"/>
      <pageMargins left="0.7" right="0.7" top="0.78740157499999996" bottom="0.78740157499999996" header="0.3" footer="0.3"/>
      <pageSetup paperSize="9" scale="68" fitToHeight="0" orientation="portrait" r:id="rId1"/>
    </customSheetView>
    <customSheetView guid="{5DDDE19F-F10F-4514-A83C-F71CDD7BE512}" fitToPage="1">
      <selection activeCell="A47" sqref="A47"/>
      <pageMargins left="0.7" right="0.7" top="0.78740157499999996" bottom="0.78740157499999996" header="0.3" footer="0.3"/>
      <pageSetup paperSize="9" scale="68" fitToHeight="0" orientation="portrait" r:id="rId2"/>
    </customSheetView>
    <customSheetView guid="{9A6D0F5E-68D7-4772-8712-9975EE0A4B2C}" fitToPage="1">
      <selection activeCell="A47" sqref="A47"/>
      <pageMargins left="0.7" right="0.7" top="0.78740157499999996" bottom="0.78740157499999996" header="0.3" footer="0.3"/>
      <pageSetup paperSize="9" scale="68" fitToHeight="0" orientation="portrait" r:id="rId3"/>
    </customSheetView>
  </customSheetViews>
  <mergeCells count="2">
    <mergeCell ref="B1:H1"/>
    <mergeCell ref="B3:H3"/>
  </mergeCells>
  <hyperlinks>
    <hyperlink ref="B8" location="'Kurzprofil Vorarlberg'!A1" display="Kurzprofil Vorarlberg" xr:uid="{C1D537E3-C93D-4CEF-AF52-8693626A0B16}"/>
    <hyperlink ref="B9" location="Landesfläche!A1" display="Landesfläche" xr:uid="{23858277-FCE3-49D2-9ACD-9C4BCF8D0F98}"/>
    <hyperlink ref="B12" location="Bevölkerung!A1" display="Bevölkerung" xr:uid="{E5A32B40-4F8F-4453-9C41-C53FABC6D4C7}"/>
    <hyperlink ref="B13" location="'Beschäftigte u Grenzgänger'!A1" display="Beschäftigte u Grenzgänger" xr:uid="{E9B2DDE8-2920-4487-B38E-40C93BE62DC6}"/>
    <hyperlink ref="B15" location="Schulbesuch!A1" display="Schulbesuch" xr:uid="{C7B60CA3-3464-4EE6-811F-3C3549655597}"/>
    <hyperlink ref="B16" location="'Haushalte u Landtagswahlen'!A1" display="Haushalte u Landtagswahlen" xr:uid="{AB36688F-84D6-4E9D-A0FC-3524B60FA26D}"/>
    <hyperlink ref="B19" location="'Steuern, Abgaben, Landesbudget'!A1" display="Steuern, Abgaben, Landesbudget" xr:uid="{042317EC-2720-42A4-AB70-9290DE894CFD}"/>
    <hyperlink ref="B20" location="'Arbeitskosten, Preisindizes'!A1" display="Arbeitskosten, Preisindizes" xr:uid="{EEC2A0BB-943B-443C-82D0-80BCCAF69C04}"/>
    <hyperlink ref="B23" location="'Entwicklung Kammermitglieder'!A1" display="Entwicklung Kammermitglieder" xr:uid="{16D6ADFF-90B4-47EB-B70E-EE1F26ACFC42}"/>
    <hyperlink ref="B24" location="'Arbeitsstätten, Beschäftigte'!A1" display="Arbeitsstätten, Beschäftigte" xr:uid="{72DFDBA3-C385-4D62-8FA4-DBF35784CEE4}"/>
    <hyperlink ref="B27" location="'Größenkl GWH, Industrie'!A1" display="Größenklassen GWH, Industrie" xr:uid="{595A0E92-48D1-4E79-AFBE-433C5EF839F8}"/>
    <hyperlink ref="B28" location="'Größenkl Handel, Bank, Versich'!A1" display="Größenklassen Handel, Bank u Versicherung" xr:uid="{617FB866-68B6-4C49-A398-0F240E2D076A}"/>
    <hyperlink ref="B29" location="'Größenkl Trans, Verkehr, Touris'!A1" display="Größenklassen Transport, Verkehr, Tourismus" xr:uid="{86B32F2B-8463-47E6-8954-24CF5ACA0204}"/>
    <hyperlink ref="B30" location="'Größenkl IC, Überblick'!A1" display="Größenklassen Information u Consulting, Überblick" xr:uid="{6DA3AE1F-88FD-4182-A165-501F0FFF8ED0}"/>
    <hyperlink ref="B31" location="'Reg Besch gew Wirtschaft'!A1" display="Reg. Besch gew. Wirtschaft" xr:uid="{97A396AE-EDA3-41AF-8482-18F89C160F0B}"/>
    <hyperlink ref="B32" location="'WKMitglieder Bezirke u Rechtsfo'!A1" display="WKMitglieder Bezirke u. Rechtsformen" xr:uid="{58C33F63-21F3-4085-AF36-4D6D4EB7A862}"/>
    <hyperlink ref="B33" location="Unternehmensneugründungen!A1" display="Unternehmensneugründungen" xr:uid="{FCD05B1D-3AE0-44F2-9D21-82FEE0AEB6BA}"/>
    <hyperlink ref="B36" location="Bruttoregionalprodukt!A1" display="Bruttoregionalprodukt" xr:uid="{A4875D6E-6C35-45CF-B95E-0E8A99C138DE}"/>
    <hyperlink ref="B37" location="'Bruttoreginalprod je EW'!A1" display="Bruttoregionalprodukt je EW" xr:uid="{9349E280-2BE8-4E89-9B67-1D686A6F653B}"/>
    <hyperlink ref="B38" location="'Reale Bruttowertschöpfung'!A1" display="Reale Bruttowertschöpfung" xr:uid="{7217BC6D-991F-49B6-9739-57AD7FD20AC0}"/>
    <hyperlink ref="B39" location="'Nominelle Bruttowertschöpfung'!A1" display="Nominelle Bruttowertschöpfung" xr:uid="{C0C71CD7-20C4-4804-B84C-71FEC8BE7101}"/>
    <hyperlink ref="B40" location="Sachgüterproduktion!A1" display="Sachgüterproduktion " xr:uid="{30845D88-EBA4-4130-94BC-A9FBAD15B927}"/>
    <hyperlink ref="B41" location="'Sachgüterproduktion je EW'!A1" display="Sachgüterproduktion je EW" xr:uid="{49425801-DC1D-44E5-9345-E2199F8E2373}"/>
    <hyperlink ref="B42" location="' Industrieproduktion je EW'!A1" display="Industrieproduktion je EW" xr:uid="{4C6FC6F7-2341-4D9E-A462-C85C34F8646A}"/>
    <hyperlink ref="B43" location="'Industriebesch Bdl je 1000 EW'!A1" display="Industriebesch Bdl je 1000 EW" xr:uid="{F41CC75A-8792-492D-B210-AACE6F067A52}"/>
    <hyperlink ref="B44" location="Gewerbeproduktion!A1" display="Gewerbeproduktion" xr:uid="{FAB2A48D-2DEF-4DE1-83A6-919338F0BD13}"/>
    <hyperlink ref="B45" location="'Gebäude u. Wohnbautätigkeit'!A1" display="Gebäude u Wohnbautätigkeit" xr:uid="{74F59E5C-38C2-41CE-9C47-EF7A226CB9D6}"/>
    <hyperlink ref="B46" location="Handel!A1" display="Handel" xr:uid="{6DD0EEB0-C395-4828-B06E-CDE668BE4B99}"/>
    <hyperlink ref="B47" location="'Entwicklung Kaufkraft'!A1" display="Entwicklung Kaufkraft" xr:uid="{E57756F5-7A83-4EBA-B203-EF660D5B2B94}"/>
    <hyperlink ref="B48" location="Tourismus!A1" display="Tourismus" xr:uid="{CBE1EC7F-8A9C-40EB-A403-5EC760457866}"/>
    <hyperlink ref="B49" location="'Ankünfte Nächtigungen Regionen'!A1" display="Ankünfte, Nächtigungen Regionen" xr:uid="{C02643A3-145F-4387-A2C7-A7CCC00952FA}"/>
    <hyperlink ref="B50" location="' Verkehr Bestand Vlb'!A1" display="Verkehr Bestand Vlb" xr:uid="{F3A65131-CAA4-4DB9-B847-DCAD97479FE5}"/>
    <hyperlink ref="B51" location="'Verkehr LKW, Seilbahnen'!A1" display="Verkehr LKW, Seilbahnen" xr:uid="{94B39B81-31F3-4DCF-9114-5B9C2A3DB1A8}"/>
    <hyperlink ref="B52" location="'Entwicklung Außenhandel'!A1" display="Entwicklung Außenhandel" xr:uid="{CE7EBCB6-841E-4D64-BA55-A29FAB1985BA}"/>
    <hyperlink ref="B53" location="'Exporte WRäumen u WGruppen'!A1" display="Exporte WRäume u WGruppen" xr:uid="{2B192044-9EDF-48CB-B0BD-C8D8A48CD862}"/>
    <hyperlink ref="B54" location="'Energieverbrauch Energieträger'!A1" display="Energieverbrauch Energieträger" xr:uid="{B423FE02-7C1F-48E5-B3FB-C37A2F3E041B}"/>
    <hyperlink ref="B55" location="'E-Verbrauch Anteile Energieträg'!A1" display="E-Verbrauch Anteile Energieträger" xr:uid="{6A6921DC-BC72-46B9-B968-5C668DA85D22}"/>
    <hyperlink ref="B56" location="Überblick!A1" display="Überblick" xr:uid="{A883E526-404D-489E-9BAC-04D1B10FAD2E}"/>
  </hyperlinks>
  <pageMargins left="0.70866141732283472" right="0.70866141732283472" top="0.78740157480314965" bottom="0.78740157480314965" header="0.31496062992125984" footer="0.31496062992125984"/>
  <pageSetup paperSize="9" scale="70" fitToHeight="0"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X50"/>
  <sheetViews>
    <sheetView workbookViewId="0">
      <selection activeCell="AX19" sqref="AX19:AX21"/>
    </sheetView>
  </sheetViews>
  <sheetFormatPr baseColWidth="10" defaultRowHeight="15"/>
  <cols>
    <col min="1" max="1" width="35.42578125" customWidth="1"/>
    <col min="2" max="2" width="21.42578125" customWidth="1"/>
    <col min="3" max="3" width="13.85546875" customWidth="1"/>
  </cols>
  <sheetData>
    <row r="1" spans="1:16" ht="39.75" customHeight="1">
      <c r="A1" s="660" t="s">
        <v>142</v>
      </c>
      <c r="B1" s="660"/>
      <c r="C1" s="666"/>
      <c r="D1" s="427"/>
      <c r="E1" s="48"/>
      <c r="F1" s="21"/>
      <c r="G1" s="21"/>
    </row>
    <row r="3" spans="1:16" ht="17.25">
      <c r="A3" s="460" t="s">
        <v>487</v>
      </c>
      <c r="B3" s="26"/>
      <c r="C3" s="21"/>
      <c r="D3" s="41"/>
      <c r="E3" s="22"/>
      <c r="F3" s="21"/>
      <c r="G3" s="21"/>
    </row>
    <row r="4" spans="1:16" ht="15.75">
      <c r="A4" s="57"/>
      <c r="B4" s="22"/>
      <c r="C4" s="22"/>
      <c r="D4" s="40"/>
      <c r="E4" s="22"/>
      <c r="F4" s="21"/>
      <c r="G4" s="21"/>
    </row>
    <row r="5" spans="1:16" ht="15.75">
      <c r="A5" s="5" t="s">
        <v>686</v>
      </c>
      <c r="B5" s="10"/>
      <c r="C5" s="10"/>
      <c r="D5" s="148"/>
      <c r="E5" s="240"/>
      <c r="F5" s="21"/>
      <c r="G5" s="21"/>
    </row>
    <row r="6" spans="1:16" ht="15.75">
      <c r="A6" s="10"/>
      <c r="B6" s="10"/>
      <c r="C6" s="10"/>
      <c r="D6" s="148"/>
      <c r="E6" s="240"/>
      <c r="F6" s="21"/>
      <c r="G6" s="21"/>
    </row>
    <row r="7" spans="1:16" ht="15.75">
      <c r="A7" s="366" t="s">
        <v>144</v>
      </c>
      <c r="B7" s="366" t="s">
        <v>305</v>
      </c>
      <c r="C7" s="366" t="s">
        <v>105</v>
      </c>
      <c r="D7" s="594" t="s">
        <v>125</v>
      </c>
      <c r="E7" s="366" t="s">
        <v>105</v>
      </c>
      <c r="F7" s="21"/>
      <c r="G7" s="21"/>
    </row>
    <row r="8" spans="1:16" ht="15.75">
      <c r="A8" s="143" t="s">
        <v>304</v>
      </c>
      <c r="B8" s="164">
        <v>809</v>
      </c>
      <c r="C8" s="201">
        <f>B8*100/$B$12</f>
        <v>85.068349106203996</v>
      </c>
      <c r="D8" s="330">
        <v>2140</v>
      </c>
      <c r="E8" s="185">
        <f>D8*100/$D$12</f>
        <v>35.990581903800873</v>
      </c>
      <c r="F8" s="21"/>
      <c r="G8" s="21"/>
    </row>
    <row r="9" spans="1:16" ht="15.75">
      <c r="A9" s="143" t="s">
        <v>302</v>
      </c>
      <c r="B9" s="164">
        <v>129</v>
      </c>
      <c r="C9" s="201">
        <f>B9*100/$B$12</f>
        <v>13.564668769716087</v>
      </c>
      <c r="D9" s="330">
        <v>2457</v>
      </c>
      <c r="E9" s="185">
        <f>D9*100/$D$12</f>
        <v>41.321897073662967</v>
      </c>
      <c r="F9" s="21"/>
      <c r="G9" s="21"/>
    </row>
    <row r="10" spans="1:16" ht="15.75">
      <c r="A10" s="143" t="s">
        <v>485</v>
      </c>
      <c r="B10" s="164">
        <v>13</v>
      </c>
      <c r="C10" s="201">
        <f>B10*100/$B$12</f>
        <v>1.3669821240799158</v>
      </c>
      <c r="D10" s="330">
        <v>1349</v>
      </c>
      <c r="E10" s="185">
        <f>D10*100/$D$12</f>
        <v>22.68752102253616</v>
      </c>
      <c r="F10" s="21"/>
      <c r="G10" s="21"/>
    </row>
    <row r="11" spans="1:16" ht="15.75">
      <c r="A11" s="434"/>
      <c r="B11" s="597"/>
      <c r="C11" s="598"/>
      <c r="D11" s="599"/>
      <c r="E11" s="98"/>
      <c r="F11" s="21"/>
      <c r="G11" s="21"/>
    </row>
    <row r="12" spans="1:16" ht="15.75">
      <c r="A12" s="436" t="s">
        <v>47</v>
      </c>
      <c r="B12" s="464">
        <f>SUM(B8:B10)</f>
        <v>951</v>
      </c>
      <c r="C12" s="573">
        <f>SUM(C8:C11)</f>
        <v>100</v>
      </c>
      <c r="D12" s="559">
        <f>SUM(D8:D11)</f>
        <v>5946</v>
      </c>
      <c r="E12" s="572">
        <v>100</v>
      </c>
      <c r="F12" s="21"/>
      <c r="G12" s="21"/>
    </row>
    <row r="13" spans="1:16" ht="15.75">
      <c r="A13" s="240"/>
      <c r="B13" s="240"/>
      <c r="C13" s="307"/>
      <c r="D13" s="335"/>
      <c r="E13" s="240"/>
      <c r="F13" s="21"/>
      <c r="G13" s="21"/>
    </row>
    <row r="14" spans="1:16" ht="15.75">
      <c r="A14" s="600"/>
      <c r="B14" s="149"/>
      <c r="C14" s="149"/>
      <c r="D14" s="551"/>
      <c r="E14" s="240"/>
      <c r="F14" s="21"/>
      <c r="G14" s="21"/>
      <c r="P14" s="10"/>
    </row>
    <row r="15" spans="1:16" ht="15.75">
      <c r="A15" s="436" t="s">
        <v>740</v>
      </c>
      <c r="B15" s="456"/>
      <c r="C15" s="456"/>
      <c r="D15" s="10"/>
      <c r="E15" s="5"/>
      <c r="F15" s="228"/>
      <c r="G15" s="228"/>
      <c r="H15" s="10"/>
      <c r="I15" s="10"/>
      <c r="J15" s="10"/>
      <c r="K15" s="10"/>
      <c r="L15" s="10"/>
      <c r="M15" s="10"/>
      <c r="N15" s="10"/>
      <c r="O15" s="10"/>
      <c r="P15" s="10"/>
    </row>
    <row r="16" spans="1:16" ht="15.75">
      <c r="A16" s="10" t="s">
        <v>0</v>
      </c>
      <c r="B16" s="10"/>
      <c r="C16" s="601"/>
      <c r="D16" s="10"/>
      <c r="E16" s="10"/>
      <c r="F16" s="228"/>
      <c r="G16" s="228"/>
      <c r="H16" s="10"/>
      <c r="I16" s="10"/>
      <c r="J16" s="10"/>
      <c r="K16" s="10"/>
      <c r="L16" s="10"/>
      <c r="M16" s="10"/>
      <c r="N16" s="10"/>
      <c r="O16" s="10"/>
      <c r="P16" s="10"/>
    </row>
    <row r="17" spans="1:50" ht="16.5" customHeight="1">
      <c r="A17" s="10"/>
      <c r="B17" s="10"/>
      <c r="C17" s="601"/>
      <c r="D17" s="10"/>
      <c r="E17" s="10"/>
      <c r="F17" s="228"/>
      <c r="G17" s="762"/>
      <c r="H17" s="638"/>
      <c r="I17" s="638"/>
      <c r="J17" s="638"/>
      <c r="K17" s="638"/>
      <c r="L17" s="762" t="s">
        <v>137</v>
      </c>
      <c r="M17" s="638"/>
      <c r="N17" s="638"/>
      <c r="O17" s="638"/>
      <c r="P17" s="638"/>
      <c r="Q17" s="638"/>
      <c r="R17" s="638"/>
      <c r="S17" s="638"/>
      <c r="T17" s="638"/>
    </row>
    <row r="18" spans="1:50" ht="15.75">
      <c r="F18" s="228"/>
      <c r="G18" s="638"/>
      <c r="H18" s="638" t="s">
        <v>137</v>
      </c>
      <c r="I18" s="763" t="s">
        <v>125</v>
      </c>
      <c r="J18" s="638" t="s">
        <v>137</v>
      </c>
      <c r="K18" s="763" t="s">
        <v>125</v>
      </c>
      <c r="L18" s="762">
        <v>2214</v>
      </c>
      <c r="M18" s="638">
        <v>158</v>
      </c>
      <c r="N18" s="638">
        <v>1589</v>
      </c>
      <c r="O18" s="638">
        <v>13</v>
      </c>
      <c r="P18" s="638">
        <v>295</v>
      </c>
      <c r="Q18" s="638">
        <v>1105</v>
      </c>
      <c r="R18" s="638">
        <v>801</v>
      </c>
      <c r="S18" s="638">
        <f>SUM(L18:R18)</f>
        <v>6175</v>
      </c>
      <c r="T18" s="748">
        <v>6402</v>
      </c>
    </row>
    <row r="19" spans="1:50" ht="15.75">
      <c r="F19" s="228"/>
      <c r="G19" s="638" t="s">
        <v>138</v>
      </c>
      <c r="H19" s="764">
        <f>J19/$J$23</f>
        <v>0.75664402335836012</v>
      </c>
      <c r="I19" s="764">
        <f>K19/$K$23</f>
        <v>0.15741857659831121</v>
      </c>
      <c r="J19" s="765">
        <v>6349</v>
      </c>
      <c r="K19" s="765">
        <v>19314</v>
      </c>
      <c r="L19" s="762">
        <v>598</v>
      </c>
      <c r="M19" s="638">
        <v>75</v>
      </c>
      <c r="N19" s="638">
        <v>348</v>
      </c>
      <c r="O19" s="638">
        <v>22</v>
      </c>
      <c r="P19" s="638">
        <v>131</v>
      </c>
      <c r="Q19" s="638">
        <v>216</v>
      </c>
      <c r="R19" s="638">
        <v>115</v>
      </c>
      <c r="T19" s="748">
        <v>1697</v>
      </c>
      <c r="AX19" s="638">
        <f>SUM(L19:R19)</f>
        <v>1505</v>
      </c>
    </row>
    <row r="20" spans="1:50" ht="15.75">
      <c r="F20" s="228"/>
      <c r="G20" s="638" t="s">
        <v>139</v>
      </c>
      <c r="H20" s="764">
        <f>J20/$J$23</f>
        <v>0.19806936002860207</v>
      </c>
      <c r="I20" s="764">
        <f>K20/$K$23</f>
        <v>0.27910540214520912</v>
      </c>
      <c r="J20" s="765">
        <v>1662</v>
      </c>
      <c r="K20" s="765">
        <v>34244</v>
      </c>
      <c r="L20" s="762">
        <v>97</v>
      </c>
      <c r="M20" s="638">
        <v>53</v>
      </c>
      <c r="N20" s="638">
        <v>50</v>
      </c>
      <c r="O20" s="638">
        <v>17</v>
      </c>
      <c r="P20" s="638">
        <v>22</v>
      </c>
      <c r="Q20" s="638">
        <v>28</v>
      </c>
      <c r="R20" s="638">
        <v>14</v>
      </c>
      <c r="T20" s="748">
        <v>328</v>
      </c>
      <c r="AX20" s="638">
        <f>SUM(L20:R20)</f>
        <v>281</v>
      </c>
    </row>
    <row r="21" spans="1:50" ht="15.75">
      <c r="F21" s="228"/>
      <c r="G21" s="638" t="s">
        <v>140</v>
      </c>
      <c r="H21" s="764">
        <f>J21/$J$23</f>
        <v>3.8851150041711358E-2</v>
      </c>
      <c r="I21" s="764">
        <f>K21/$K$23</f>
        <v>0.26580380138884363</v>
      </c>
      <c r="J21" s="765">
        <v>326</v>
      </c>
      <c r="K21" s="765">
        <v>32612</v>
      </c>
      <c r="L21" s="762">
        <v>11</v>
      </c>
      <c r="M21" s="638">
        <v>27</v>
      </c>
      <c r="N21" s="638">
        <v>8</v>
      </c>
      <c r="O21" s="638">
        <v>3</v>
      </c>
      <c r="P21" s="638">
        <v>5</v>
      </c>
      <c r="Q21" s="638">
        <v>1</v>
      </c>
      <c r="R21" s="638">
        <v>1</v>
      </c>
      <c r="T21" s="748">
        <v>57</v>
      </c>
      <c r="AX21" s="638">
        <f>SUM(L21:R21)</f>
        <v>56</v>
      </c>
    </row>
    <row r="22" spans="1:50" ht="15.75">
      <c r="F22" s="228"/>
      <c r="G22" s="638" t="s">
        <v>141</v>
      </c>
      <c r="H22" s="764">
        <f>J22/$J$23</f>
        <v>6.435466571326421E-3</v>
      </c>
      <c r="I22" s="764">
        <f>K22/$K$23</f>
        <v>0.29766406937697648</v>
      </c>
      <c r="J22" s="765">
        <v>54</v>
      </c>
      <c r="K22" s="765">
        <v>36521</v>
      </c>
      <c r="L22" s="762"/>
      <c r="M22" s="762"/>
      <c r="N22" s="762"/>
      <c r="O22" s="762"/>
      <c r="P22" s="762"/>
      <c r="Q22" s="762"/>
      <c r="R22" s="762"/>
      <c r="S22" s="638">
        <f>SUM(S18:S21)</f>
        <v>6175</v>
      </c>
      <c r="T22" s="748">
        <f>SUM(T18:T21)</f>
        <v>8484</v>
      </c>
    </row>
    <row r="23" spans="1:50" ht="15.75">
      <c r="F23" s="228"/>
      <c r="G23" s="638"/>
      <c r="H23" s="749"/>
      <c r="I23" s="638"/>
      <c r="J23" s="766">
        <v>8391</v>
      </c>
      <c r="K23" s="766">
        <v>122692</v>
      </c>
      <c r="L23" s="762"/>
      <c r="M23" s="638"/>
      <c r="N23" s="638"/>
      <c r="O23" s="638"/>
      <c r="P23" s="638"/>
      <c r="Q23" s="638"/>
      <c r="R23" s="638"/>
      <c r="S23" s="638"/>
      <c r="T23" s="638"/>
      <c r="W23" s="88"/>
    </row>
    <row r="24" spans="1:50" ht="15.75">
      <c r="A24" s="228"/>
      <c r="B24" s="228"/>
      <c r="C24" s="228"/>
      <c r="D24" s="228"/>
      <c r="E24" s="228"/>
      <c r="F24" s="228"/>
      <c r="G24" s="638"/>
      <c r="H24" s="638"/>
      <c r="I24" s="638"/>
      <c r="J24" s="638"/>
      <c r="K24" s="638"/>
      <c r="L24" s="762"/>
      <c r="M24" s="638"/>
      <c r="N24" s="638"/>
      <c r="O24" s="638"/>
      <c r="P24" s="638"/>
      <c r="Q24" s="638"/>
      <c r="R24" s="638"/>
      <c r="S24" s="638"/>
      <c r="T24" s="638"/>
    </row>
    <row r="25" spans="1:50" ht="15.75">
      <c r="A25" s="228"/>
      <c r="B25" s="228"/>
      <c r="C25" s="228"/>
      <c r="D25" s="228"/>
      <c r="E25" s="228"/>
      <c r="F25" s="228"/>
      <c r="G25" s="638"/>
      <c r="H25" s="638"/>
      <c r="I25" s="638"/>
      <c r="J25" s="638"/>
      <c r="K25" s="638"/>
      <c r="L25" s="638" t="s">
        <v>125</v>
      </c>
      <c r="M25" s="638"/>
      <c r="N25" s="638"/>
      <c r="O25" s="638"/>
      <c r="P25" s="638"/>
      <c r="Q25" s="638"/>
      <c r="R25" s="638"/>
      <c r="S25" s="638"/>
      <c r="T25" s="638"/>
    </row>
    <row r="26" spans="1:50" ht="15.75">
      <c r="A26" s="228"/>
      <c r="B26" s="228"/>
      <c r="C26" s="228"/>
      <c r="D26" s="228"/>
      <c r="E26" s="228"/>
      <c r="F26" s="228"/>
      <c r="G26" s="638"/>
      <c r="H26" s="638"/>
      <c r="I26" s="638"/>
      <c r="J26" s="638"/>
      <c r="K26" s="638"/>
      <c r="L26" s="638">
        <v>7002</v>
      </c>
      <c r="M26" s="638">
        <v>486</v>
      </c>
      <c r="N26" s="638">
        <v>4528</v>
      </c>
      <c r="O26" s="638">
        <v>40</v>
      </c>
      <c r="P26" s="638">
        <v>1033</v>
      </c>
      <c r="Q26" s="638">
        <v>3329</v>
      </c>
      <c r="R26" s="638">
        <v>2064</v>
      </c>
      <c r="S26" s="638">
        <f>SUM(L26:R26)</f>
        <v>18482</v>
      </c>
      <c r="T26" s="748">
        <v>19294</v>
      </c>
    </row>
    <row r="27" spans="1:50" ht="15.75">
      <c r="A27" s="228"/>
      <c r="B27" s="228"/>
      <c r="C27" s="228"/>
      <c r="D27" s="228"/>
      <c r="E27" s="228"/>
      <c r="F27" s="228"/>
      <c r="G27" s="638"/>
      <c r="H27" s="638"/>
      <c r="I27" s="638"/>
      <c r="J27" s="638"/>
      <c r="K27" s="638"/>
      <c r="L27" s="638">
        <v>12026</v>
      </c>
      <c r="M27" s="638">
        <v>1886</v>
      </c>
      <c r="N27" s="638">
        <v>6849</v>
      </c>
      <c r="O27" s="638">
        <v>565</v>
      </c>
      <c r="P27" s="638">
        <v>2525</v>
      </c>
      <c r="Q27" s="638">
        <v>4413</v>
      </c>
      <c r="R27" s="638">
        <v>2090</v>
      </c>
      <c r="S27" s="638">
        <f>SUM(L27:R27)</f>
        <v>30354</v>
      </c>
      <c r="T27" s="748">
        <v>34596</v>
      </c>
    </row>
    <row r="28" spans="1:50" ht="15.75">
      <c r="A28" s="228"/>
      <c r="B28" s="228"/>
      <c r="C28" s="228"/>
      <c r="D28" s="228"/>
      <c r="E28" s="228"/>
      <c r="F28" s="228"/>
      <c r="G28" s="638"/>
      <c r="H28" s="638"/>
      <c r="I28" s="638"/>
      <c r="J28" s="638"/>
      <c r="K28" s="638"/>
      <c r="L28" s="638">
        <v>9665</v>
      </c>
      <c r="M28" s="638">
        <v>6146</v>
      </c>
      <c r="N28" s="638">
        <v>4623</v>
      </c>
      <c r="O28" s="638">
        <v>2304</v>
      </c>
      <c r="P28" s="638">
        <v>2000</v>
      </c>
      <c r="Q28" s="638">
        <v>2360</v>
      </c>
      <c r="R28" s="638">
        <v>1001</v>
      </c>
      <c r="S28" s="638">
        <f>SUM(L28:R28)</f>
        <v>28099</v>
      </c>
      <c r="T28" s="748">
        <v>32418</v>
      </c>
    </row>
    <row r="29" spans="1:50" ht="15.75">
      <c r="A29" s="228"/>
      <c r="B29" s="228"/>
      <c r="C29" s="228"/>
      <c r="D29" s="228"/>
      <c r="E29" s="228"/>
      <c r="F29" s="228"/>
      <c r="G29" s="638"/>
      <c r="H29" s="638"/>
      <c r="I29" s="638"/>
      <c r="J29" s="638"/>
      <c r="K29" s="638"/>
      <c r="L29" s="638">
        <v>5002</v>
      </c>
      <c r="M29" s="638">
        <v>20923</v>
      </c>
      <c r="N29" s="638">
        <v>4877</v>
      </c>
      <c r="O29" s="638">
        <v>1364</v>
      </c>
      <c r="P29" s="638">
        <v>2980</v>
      </c>
      <c r="Q29" s="638">
        <v>428</v>
      </c>
      <c r="R29" s="638">
        <v>473</v>
      </c>
      <c r="S29" s="638">
        <f>SUM(L29:R29)</f>
        <v>36047</v>
      </c>
      <c r="T29" s="748">
        <v>37399</v>
      </c>
    </row>
    <row r="30" spans="1:50" ht="15.75">
      <c r="A30" s="228"/>
      <c r="B30" s="228"/>
      <c r="C30" s="228"/>
      <c r="D30" s="228"/>
      <c r="E30" s="228"/>
      <c r="F30" s="228"/>
      <c r="G30" s="638"/>
      <c r="H30" s="638"/>
      <c r="I30" s="638"/>
      <c r="J30" s="638"/>
      <c r="K30" s="638"/>
      <c r="L30" s="638"/>
      <c r="M30" s="638"/>
      <c r="N30" s="638"/>
      <c r="O30" s="638"/>
      <c r="P30" s="638"/>
      <c r="Q30" s="638"/>
      <c r="R30" s="638"/>
      <c r="S30" s="638">
        <f>SUM(S26:S29)</f>
        <v>112982</v>
      </c>
      <c r="T30" s="748">
        <f>SUM(T26:T29)</f>
        <v>123707</v>
      </c>
    </row>
    <row r="31" spans="1:50" ht="15.75">
      <c r="A31" s="228"/>
      <c r="B31" s="228"/>
      <c r="C31" s="228"/>
      <c r="D31" s="228"/>
      <c r="E31" s="228"/>
      <c r="F31" s="228"/>
      <c r="P31" s="10"/>
    </row>
    <row r="32" spans="1:50" ht="15.75">
      <c r="A32" s="228"/>
      <c r="B32" s="228"/>
      <c r="C32" s="228"/>
      <c r="D32" s="228"/>
      <c r="E32" s="228"/>
      <c r="F32" s="228"/>
      <c r="G32" s="228"/>
      <c r="H32" s="10"/>
      <c r="I32" s="10"/>
      <c r="J32" s="10"/>
      <c r="K32" s="10"/>
      <c r="L32" s="10"/>
      <c r="M32" s="10"/>
      <c r="N32" s="10"/>
      <c r="O32" s="10"/>
      <c r="P32" s="10"/>
    </row>
    <row r="33" spans="1:16" ht="15.75">
      <c r="A33" s="228"/>
      <c r="B33" s="228"/>
      <c r="C33" s="228"/>
      <c r="D33" s="228"/>
      <c r="E33" s="228"/>
      <c r="F33" s="228"/>
      <c r="G33" s="228"/>
      <c r="H33" s="10"/>
      <c r="I33" s="10"/>
      <c r="J33" s="10"/>
      <c r="K33" s="10"/>
      <c r="L33" s="10"/>
      <c r="M33" s="10"/>
      <c r="N33" s="10"/>
      <c r="O33" s="10"/>
      <c r="P33" s="10"/>
    </row>
    <row r="34" spans="1:16" ht="15.75">
      <c r="A34" s="228"/>
      <c r="B34" s="228"/>
      <c r="C34" s="228"/>
      <c r="D34" s="228"/>
      <c r="E34" s="228"/>
      <c r="F34" s="228"/>
      <c r="G34" s="228"/>
      <c r="H34" s="10"/>
      <c r="I34" s="10"/>
      <c r="J34" s="10"/>
      <c r="K34" s="10"/>
      <c r="L34" s="10"/>
      <c r="M34" s="10"/>
      <c r="N34" s="10"/>
      <c r="O34" s="10"/>
      <c r="P34" s="10"/>
    </row>
    <row r="35" spans="1:16" ht="15.75">
      <c r="A35" s="228"/>
      <c r="B35" s="228"/>
      <c r="C35" s="228"/>
      <c r="D35" s="228"/>
      <c r="E35" s="228"/>
      <c r="F35" s="228"/>
      <c r="G35" s="228"/>
      <c r="H35" s="10"/>
      <c r="I35" s="10"/>
      <c r="J35" s="10"/>
      <c r="K35" s="10"/>
      <c r="L35" s="10"/>
      <c r="M35" s="10"/>
      <c r="N35" s="10"/>
      <c r="O35" s="10"/>
      <c r="P35" s="10"/>
    </row>
    <row r="36" spans="1:16" ht="15.75">
      <c r="A36" s="228"/>
      <c r="B36" s="228"/>
      <c r="C36" s="228"/>
      <c r="D36" s="228"/>
      <c r="E36" s="228"/>
      <c r="F36" s="228"/>
      <c r="G36" s="228"/>
      <c r="H36" s="10"/>
      <c r="I36" s="10"/>
      <c r="J36" s="10"/>
      <c r="K36" s="10"/>
      <c r="L36" s="10"/>
      <c r="M36" s="10"/>
      <c r="N36" s="10"/>
      <c r="O36" s="10"/>
      <c r="P36" s="10"/>
    </row>
    <row r="37" spans="1:16" ht="15.75">
      <c r="A37" s="228"/>
      <c r="B37" s="228"/>
      <c r="C37" s="228"/>
      <c r="D37" s="228"/>
      <c r="E37" s="228"/>
      <c r="F37" s="228"/>
      <c r="G37" s="228"/>
      <c r="H37" s="10"/>
      <c r="I37" s="10"/>
      <c r="J37" s="10"/>
      <c r="K37" s="10"/>
      <c r="L37" s="10"/>
      <c r="M37" s="10"/>
      <c r="N37" s="10"/>
      <c r="O37" s="10"/>
      <c r="P37" s="10"/>
    </row>
    <row r="38" spans="1:16" ht="15.75">
      <c r="A38" s="228"/>
      <c r="B38" s="228"/>
      <c r="C38" s="228"/>
      <c r="D38" s="228"/>
      <c r="E38" s="228"/>
      <c r="F38" s="228"/>
      <c r="G38" s="228"/>
      <c r="H38" s="10"/>
      <c r="I38" s="10"/>
      <c r="J38" s="10"/>
      <c r="K38" s="10"/>
      <c r="L38" s="10"/>
      <c r="M38" s="10"/>
      <c r="N38" s="10"/>
      <c r="O38" s="10"/>
      <c r="P38" s="10"/>
    </row>
    <row r="39" spans="1:16" ht="15.75">
      <c r="A39" s="228"/>
      <c r="B39" s="228"/>
      <c r="C39" s="228"/>
      <c r="D39" s="228"/>
      <c r="E39" s="228"/>
      <c r="F39" s="228"/>
      <c r="G39" s="228"/>
      <c r="H39" s="10"/>
      <c r="I39" s="10"/>
      <c r="J39" s="10"/>
      <c r="K39" s="10"/>
      <c r="L39" s="10"/>
      <c r="M39" s="10"/>
      <c r="N39" s="10"/>
      <c r="O39" s="10"/>
      <c r="P39" s="10"/>
    </row>
    <row r="40" spans="1:16">
      <c r="A40" s="350" t="s">
        <v>741</v>
      </c>
      <c r="B40" s="75"/>
      <c r="C40" s="75"/>
      <c r="D40" s="75"/>
      <c r="E40" s="75"/>
      <c r="F40" s="75"/>
      <c r="G40" s="75"/>
      <c r="H40" s="75"/>
      <c r="I40" s="10"/>
      <c r="J40" s="10"/>
      <c r="K40" s="10"/>
      <c r="L40" s="10"/>
      <c r="M40" s="10"/>
      <c r="N40" s="10"/>
      <c r="O40" s="10"/>
      <c r="P40" s="10"/>
    </row>
    <row r="41" spans="1:16">
      <c r="A41" s="305" t="s">
        <v>486</v>
      </c>
      <c r="B41" s="305"/>
      <c r="C41" s="305"/>
      <c r="D41" s="305"/>
      <c r="E41" s="305"/>
      <c r="F41" s="75"/>
      <c r="G41" s="75"/>
      <c r="H41" s="75"/>
      <c r="I41" s="10"/>
      <c r="J41" s="10"/>
      <c r="K41" s="10"/>
      <c r="L41" s="10"/>
      <c r="M41" s="10"/>
      <c r="N41" s="10"/>
      <c r="O41" s="10"/>
      <c r="P41" s="10"/>
    </row>
    <row r="42" spans="1:16" ht="15.75">
      <c r="A42" s="228"/>
      <c r="B42" s="228"/>
      <c r="C42" s="228"/>
      <c r="D42" s="228"/>
      <c r="E42" s="228"/>
      <c r="F42" s="228"/>
      <c r="G42" s="228"/>
      <c r="H42" s="10"/>
      <c r="I42" s="10"/>
      <c r="J42" s="10"/>
      <c r="K42" s="10"/>
      <c r="L42" s="10"/>
      <c r="M42" s="10"/>
      <c r="N42" s="10"/>
      <c r="O42" s="10"/>
      <c r="P42" s="10"/>
    </row>
    <row r="43" spans="1:16" ht="15.75">
      <c r="A43" s="350" t="s">
        <v>109</v>
      </c>
      <c r="B43" s="228"/>
      <c r="C43" s="228"/>
      <c r="D43" s="228"/>
      <c r="E43" s="228"/>
      <c r="F43" s="228"/>
      <c r="G43" s="228"/>
      <c r="H43" s="10"/>
      <c r="I43" s="10"/>
      <c r="J43" s="10"/>
      <c r="K43" s="10"/>
      <c r="L43" s="10"/>
      <c r="M43" s="10"/>
      <c r="N43" s="10"/>
      <c r="O43" s="10"/>
      <c r="P43" s="10"/>
    </row>
    <row r="44" spans="1:16" ht="15.75">
      <c r="A44" s="228"/>
      <c r="B44" s="228"/>
      <c r="C44" s="228"/>
      <c r="D44" s="228"/>
      <c r="E44" s="228"/>
      <c r="F44" s="228"/>
      <c r="G44" s="228"/>
      <c r="H44" s="10"/>
      <c r="I44" s="10"/>
      <c r="J44" s="10"/>
      <c r="K44" s="10"/>
      <c r="L44" s="10"/>
      <c r="M44" s="10"/>
      <c r="N44" s="10"/>
      <c r="O44" s="10"/>
      <c r="P44" s="10"/>
    </row>
    <row r="45" spans="1:16" s="160" customFormat="1" ht="15.75">
      <c r="A45" s="228"/>
      <c r="B45" s="228"/>
      <c r="C45" s="228"/>
      <c r="D45" s="228"/>
      <c r="E45" s="228"/>
      <c r="F45" s="228"/>
      <c r="G45" s="228"/>
      <c r="H45" s="10"/>
      <c r="I45" s="10"/>
      <c r="J45" s="10"/>
      <c r="K45" s="10"/>
      <c r="L45" s="10"/>
      <c r="M45" s="10"/>
      <c r="N45" s="10"/>
      <c r="O45" s="10"/>
      <c r="P45" s="10"/>
    </row>
    <row r="46" spans="1:16" s="160" customFormat="1" ht="15.75">
      <c r="A46" s="228"/>
      <c r="B46" s="228"/>
      <c r="C46" s="228"/>
      <c r="D46" s="228"/>
      <c r="E46" s="228"/>
      <c r="F46" s="228"/>
      <c r="G46" s="228"/>
      <c r="H46" s="10"/>
      <c r="I46" s="10"/>
      <c r="J46" s="10"/>
      <c r="K46" s="10"/>
      <c r="L46" s="10"/>
      <c r="M46" s="10"/>
      <c r="N46" s="10"/>
      <c r="O46" s="10"/>
      <c r="P46" s="10"/>
    </row>
    <row r="47" spans="1:16">
      <c r="I47" s="75"/>
      <c r="J47" s="10"/>
      <c r="K47" s="10"/>
      <c r="L47" s="10"/>
      <c r="M47" s="10"/>
      <c r="N47" s="10"/>
      <c r="O47" s="10"/>
      <c r="P47" s="10"/>
    </row>
    <row r="48" spans="1:16" s="160" customFormat="1">
      <c r="I48" s="75"/>
      <c r="J48" s="10"/>
      <c r="K48" s="10"/>
      <c r="L48" s="10"/>
      <c r="M48" s="10"/>
      <c r="N48" s="10"/>
      <c r="O48" s="10"/>
      <c r="P48" s="10"/>
    </row>
    <row r="49" spans="1:16">
      <c r="A49" s="305"/>
      <c r="B49" s="305"/>
      <c r="C49" s="305"/>
      <c r="D49" s="305"/>
      <c r="E49" s="305"/>
      <c r="F49" s="75"/>
      <c r="G49" s="75"/>
      <c r="H49" s="75"/>
      <c r="I49" s="75"/>
      <c r="J49" s="10"/>
      <c r="K49" s="10"/>
      <c r="L49" s="10"/>
      <c r="M49" s="10"/>
      <c r="N49" s="10"/>
      <c r="O49" s="10"/>
      <c r="P49" s="10"/>
    </row>
    <row r="50" spans="1:16">
      <c r="B50" s="75"/>
      <c r="C50" s="75"/>
      <c r="D50" s="75"/>
      <c r="E50" s="75"/>
      <c r="F50" s="75"/>
      <c r="G50" s="75"/>
      <c r="H50" s="75"/>
      <c r="I50" s="75"/>
      <c r="J50" s="10"/>
      <c r="K50" s="10"/>
      <c r="L50" s="10"/>
      <c r="M50" s="10"/>
      <c r="N50" s="10"/>
      <c r="O50" s="10"/>
      <c r="P50" s="10"/>
    </row>
  </sheetData>
  <customSheetViews>
    <customSheetView guid="{00BB8FC3-0B7F-4485-B1CD-FF164EC3970C}" fitToPage="1" topLeftCell="A10">
      <selection activeCell="B9" sqref="B9"/>
      <pageMargins left="0.7" right="0.7" top="0.78740157499999996" bottom="0.78740157499999996" header="0.3" footer="0.3"/>
      <pageSetup paperSize="9" scale="62" fitToWidth="0" orientation="landscape" r:id="rId1"/>
    </customSheetView>
    <customSheetView guid="{5DDDE19F-F10F-4514-A83C-F71CDD7BE512}" fitToPage="1" topLeftCell="A10">
      <selection activeCell="B9" sqref="B9"/>
      <pageMargins left="0.7" right="0.7" top="0.78740157499999996" bottom="0.78740157499999996" header="0.3" footer="0.3"/>
      <pageSetup paperSize="9" scale="62" fitToWidth="0" orientation="landscape" r:id="rId2"/>
    </customSheetView>
    <customSheetView guid="{9A6D0F5E-68D7-4772-8712-9975EE0A4B2C}" fitToPage="1" topLeftCell="A10">
      <selection activeCell="B9" sqref="B9"/>
      <pageMargins left="0.7" right="0.7" top="0.78740157499999996" bottom="0.78740157499999996" header="0.3" footer="0.3"/>
      <pageSetup paperSize="9" scale="62" fitToWidth="0" orientation="landscape" r:id="rId3"/>
    </customSheetView>
  </customSheetViews>
  <pageMargins left="0.7" right="0.7" top="0.78740157499999996" bottom="0.78740157499999996" header="0.3" footer="0.3"/>
  <pageSetup paperSize="9" scale="61" fitToWidth="0" orientation="landscape"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35"/>
  <sheetViews>
    <sheetView workbookViewId="0">
      <selection activeCell="K11" sqref="K11"/>
    </sheetView>
  </sheetViews>
  <sheetFormatPr baseColWidth="10" defaultRowHeight="15"/>
  <cols>
    <col min="1" max="1" width="19.140625" customWidth="1"/>
    <col min="2" max="2" width="10.85546875"/>
    <col min="3" max="3" width="22.42578125" customWidth="1"/>
    <col min="8" max="8" width="9.140625" style="2"/>
    <col min="10" max="10" width="11.42578125" style="160"/>
  </cols>
  <sheetData>
    <row r="1" spans="1:17" ht="39.75" customHeight="1">
      <c r="A1" s="660" t="s">
        <v>101</v>
      </c>
      <c r="B1" s="660"/>
      <c r="C1" s="429"/>
      <c r="D1" s="430"/>
      <c r="E1" s="429"/>
      <c r="F1" s="429"/>
      <c r="G1" s="429"/>
      <c r="H1" s="431"/>
      <c r="I1" s="10"/>
      <c r="J1" s="10"/>
      <c r="K1" s="10"/>
      <c r="L1" s="10"/>
      <c r="M1" s="10"/>
      <c r="N1" s="10"/>
      <c r="O1" s="10"/>
      <c r="P1" s="10"/>
    </row>
    <row r="2" spans="1:17">
      <c r="A2" s="10"/>
      <c r="B2" s="10"/>
      <c r="C2" s="10"/>
      <c r="D2" s="148"/>
      <c r="E2" s="10"/>
      <c r="F2" s="10"/>
      <c r="G2" s="10"/>
      <c r="H2" s="240"/>
      <c r="I2" s="10"/>
      <c r="J2" s="10"/>
      <c r="K2" s="10"/>
      <c r="L2" s="10"/>
      <c r="M2" s="10"/>
      <c r="N2" s="10"/>
      <c r="O2" s="10"/>
      <c r="P2" s="10"/>
    </row>
    <row r="3" spans="1:17">
      <c r="A3" s="192" t="s">
        <v>507</v>
      </c>
      <c r="B3" s="109"/>
      <c r="C3" s="109"/>
      <c r="D3" s="110"/>
      <c r="E3" s="111"/>
      <c r="F3" s="33"/>
      <c r="G3" s="33"/>
      <c r="H3" s="240"/>
      <c r="I3" s="10"/>
      <c r="J3" s="10"/>
      <c r="K3" s="10"/>
      <c r="L3" s="10"/>
      <c r="M3" s="10"/>
      <c r="N3" s="10"/>
      <c r="O3" s="10"/>
      <c r="P3" s="10"/>
    </row>
    <row r="4" spans="1:17">
      <c r="A4" s="143" t="s">
        <v>688</v>
      </c>
      <c r="B4" s="10"/>
      <c r="C4" s="10"/>
      <c r="D4" s="148"/>
      <c r="E4" s="10"/>
      <c r="F4" s="10"/>
      <c r="G4" s="10"/>
      <c r="H4" s="240"/>
      <c r="I4" s="10"/>
      <c r="J4" s="10"/>
      <c r="K4" s="10"/>
      <c r="L4" s="10"/>
      <c r="M4" s="10"/>
      <c r="N4" s="10"/>
      <c r="O4" s="10"/>
      <c r="P4" s="10"/>
    </row>
    <row r="5" spans="1:17" s="160" customFormat="1">
      <c r="A5" s="10"/>
      <c r="B5" s="10"/>
      <c r="C5" s="10"/>
      <c r="D5" s="148"/>
      <c r="E5" s="10"/>
      <c r="F5" s="10"/>
      <c r="G5" s="10"/>
      <c r="H5" s="240"/>
      <c r="I5" s="10"/>
      <c r="J5" s="10"/>
      <c r="K5" s="10"/>
      <c r="L5" s="10"/>
      <c r="M5" s="10"/>
      <c r="N5" s="10"/>
      <c r="O5" s="10"/>
      <c r="P5" s="10"/>
    </row>
    <row r="6" spans="1:17">
      <c r="A6" s="479"/>
      <c r="B6" s="480" t="s">
        <v>149</v>
      </c>
      <c r="C6" s="480" t="s">
        <v>150</v>
      </c>
      <c r="D6" s="481" t="s">
        <v>112</v>
      </c>
      <c r="E6" s="482" t="s">
        <v>151</v>
      </c>
      <c r="F6" s="480" t="s">
        <v>120</v>
      </c>
      <c r="G6" s="480" t="s">
        <v>152</v>
      </c>
      <c r="H6" s="482" t="s">
        <v>153</v>
      </c>
      <c r="I6" s="173"/>
      <c r="J6" s="173"/>
      <c r="K6" s="173"/>
      <c r="L6" s="173"/>
      <c r="M6" s="173"/>
      <c r="N6" s="173"/>
      <c r="O6" s="173"/>
      <c r="P6" s="173"/>
      <c r="Q6" s="174"/>
    </row>
    <row r="7" spans="1:17">
      <c r="A7" s="10" t="s">
        <v>154</v>
      </c>
      <c r="B7" s="164">
        <v>25738</v>
      </c>
      <c r="C7" s="164">
        <v>21330</v>
      </c>
      <c r="D7" s="164">
        <v>15973</v>
      </c>
      <c r="E7" s="164">
        <v>3251</v>
      </c>
      <c r="F7" s="164">
        <v>5406</v>
      </c>
      <c r="G7" s="164">
        <v>7677</v>
      </c>
      <c r="H7" s="164">
        <v>5140</v>
      </c>
      <c r="I7" s="175"/>
      <c r="J7" s="175"/>
      <c r="K7" s="175"/>
      <c r="L7" s="175"/>
      <c r="M7" s="175" t="s">
        <v>0</v>
      </c>
      <c r="N7" s="175" t="s">
        <v>0</v>
      </c>
      <c r="O7" s="175"/>
      <c r="P7" s="175"/>
      <c r="Q7" s="175"/>
    </row>
    <row r="8" spans="1:17">
      <c r="A8" s="10" t="s">
        <v>156</v>
      </c>
      <c r="B8" s="164">
        <v>2981</v>
      </c>
      <c r="C8" s="164">
        <v>771</v>
      </c>
      <c r="D8" s="164">
        <v>1027</v>
      </c>
      <c r="E8" s="164">
        <v>246</v>
      </c>
      <c r="F8" s="164">
        <v>537</v>
      </c>
      <c r="G8" s="164">
        <v>1612</v>
      </c>
      <c r="H8" s="164">
        <v>198</v>
      </c>
      <c r="I8" s="175"/>
      <c r="J8" s="175"/>
      <c r="K8" s="175"/>
      <c r="L8" s="175"/>
      <c r="M8" s="175" t="s">
        <v>0</v>
      </c>
      <c r="N8" s="175" t="s">
        <v>0</v>
      </c>
      <c r="O8" s="175"/>
      <c r="P8" s="175"/>
      <c r="Q8" s="175"/>
    </row>
    <row r="9" spans="1:17">
      <c r="A9" s="10" t="s">
        <v>155</v>
      </c>
      <c r="B9" s="164">
        <v>5086</v>
      </c>
      <c r="C9" s="164">
        <v>7612</v>
      </c>
      <c r="D9" s="164">
        <v>2859</v>
      </c>
      <c r="E9" s="164">
        <v>312</v>
      </c>
      <c r="F9" s="164">
        <v>1214</v>
      </c>
      <c r="G9" s="164">
        <v>1453</v>
      </c>
      <c r="H9" s="164">
        <v>434</v>
      </c>
      <c r="I9" s="175"/>
      <c r="J9" s="175"/>
      <c r="K9" s="175"/>
      <c r="L9" s="175"/>
      <c r="M9" s="175" t="s">
        <v>0</v>
      </c>
      <c r="N9" s="175" t="s">
        <v>0</v>
      </c>
      <c r="O9" s="175"/>
      <c r="P9" s="175"/>
      <c r="Q9" s="175"/>
    </row>
    <row r="10" spans="1:17">
      <c r="A10" s="10" t="s">
        <v>157</v>
      </c>
      <c r="B10" s="164">
        <v>736</v>
      </c>
      <c r="C10" s="164">
        <v>243</v>
      </c>
      <c r="D10" s="164">
        <v>489</v>
      </c>
      <c r="E10" s="164">
        <v>113</v>
      </c>
      <c r="F10" s="164">
        <v>524</v>
      </c>
      <c r="G10" s="164">
        <v>1966</v>
      </c>
      <c r="H10" s="164">
        <v>74</v>
      </c>
      <c r="I10" s="175"/>
      <c r="J10" s="175"/>
      <c r="K10" s="175"/>
      <c r="L10" s="175"/>
      <c r="M10" s="175" t="s">
        <v>0</v>
      </c>
      <c r="N10" s="175" t="s">
        <v>0</v>
      </c>
      <c r="O10" s="175"/>
      <c r="P10" s="175"/>
      <c r="Q10" s="175"/>
    </row>
    <row r="11" spans="1:17">
      <c r="A11" s="10" t="s">
        <v>158</v>
      </c>
      <c r="B11" s="164">
        <v>174</v>
      </c>
      <c r="C11" s="164">
        <v>36</v>
      </c>
      <c r="D11" s="164">
        <v>38</v>
      </c>
      <c r="E11" s="164">
        <v>15</v>
      </c>
      <c r="F11" s="461">
        <v>53</v>
      </c>
      <c r="G11" s="164">
        <v>130</v>
      </c>
      <c r="H11" s="164">
        <v>11</v>
      </c>
      <c r="I11" s="175"/>
      <c r="J11" s="175"/>
      <c r="K11" s="175"/>
      <c r="L11" s="175"/>
      <c r="M11" s="175" t="s">
        <v>0</v>
      </c>
      <c r="N11" s="175" t="s">
        <v>0</v>
      </c>
      <c r="O11" s="175"/>
      <c r="P11" s="175"/>
      <c r="Q11" s="175"/>
    </row>
    <row r="12" spans="1:17">
      <c r="A12" s="10" t="s">
        <v>159</v>
      </c>
      <c r="B12" s="164">
        <v>237</v>
      </c>
      <c r="C12" s="461">
        <v>0</v>
      </c>
      <c r="D12" s="164">
        <v>126</v>
      </c>
      <c r="E12" s="164">
        <v>218</v>
      </c>
      <c r="F12" s="461">
        <v>198</v>
      </c>
      <c r="G12" s="164">
        <v>977</v>
      </c>
      <c r="H12" s="461">
        <v>22</v>
      </c>
      <c r="I12" s="175"/>
      <c r="J12" s="175"/>
      <c r="K12" s="175"/>
      <c r="L12" s="175"/>
      <c r="M12" s="175" t="s">
        <v>0</v>
      </c>
      <c r="N12" s="175" t="s">
        <v>0</v>
      </c>
      <c r="O12" s="175"/>
      <c r="P12" s="175"/>
      <c r="Q12" s="175"/>
    </row>
    <row r="13" spans="1:17">
      <c r="A13" s="367" t="s">
        <v>306</v>
      </c>
      <c r="B13" s="462">
        <v>138</v>
      </c>
      <c r="C13" s="463">
        <v>9</v>
      </c>
      <c r="D13" s="462">
        <v>192</v>
      </c>
      <c r="E13" s="462">
        <v>72</v>
      </c>
      <c r="F13" s="462">
        <v>449</v>
      </c>
      <c r="G13" s="462">
        <v>1746</v>
      </c>
      <c r="H13" s="463">
        <v>22</v>
      </c>
      <c r="I13" s="175"/>
      <c r="J13" s="175"/>
      <c r="K13" s="175"/>
      <c r="L13" s="175"/>
      <c r="M13" s="175" t="s">
        <v>0</v>
      </c>
      <c r="N13" s="175" t="s">
        <v>0</v>
      </c>
      <c r="O13" s="175"/>
      <c r="P13" s="175"/>
      <c r="Q13" s="175"/>
    </row>
    <row r="14" spans="1:17">
      <c r="A14" s="103"/>
      <c r="B14" s="33"/>
      <c r="C14" s="33"/>
      <c r="D14" s="33"/>
      <c r="E14" s="33"/>
      <c r="F14" s="33"/>
      <c r="G14" s="33"/>
      <c r="H14" s="33"/>
      <c r="I14" s="174"/>
      <c r="J14" s="174"/>
      <c r="K14" s="174"/>
      <c r="L14" s="174"/>
      <c r="M14" s="174"/>
      <c r="N14" s="175" t="s">
        <v>0</v>
      </c>
      <c r="O14" s="174"/>
      <c r="P14" s="174"/>
      <c r="Q14" s="174"/>
    </row>
    <row r="15" spans="1:17">
      <c r="A15" s="436" t="s">
        <v>160</v>
      </c>
      <c r="B15" s="464">
        <f>SUM(B7:B14)</f>
        <v>35090</v>
      </c>
      <c r="C15" s="464">
        <f>SUM(C7:C14)</f>
        <v>30001</v>
      </c>
      <c r="D15" s="464">
        <f>SUM(D7:D13)</f>
        <v>20704</v>
      </c>
      <c r="E15" s="464">
        <f>SUM(E7:E13)</f>
        <v>4227</v>
      </c>
      <c r="F15" s="464">
        <f>SUM(F7:F13)</f>
        <v>8381</v>
      </c>
      <c r="G15" s="464">
        <f>SUM(G7:G13)</f>
        <v>15561</v>
      </c>
      <c r="H15" s="464">
        <v>5901</v>
      </c>
      <c r="I15" s="716">
        <f>SUM(B15:H15)</f>
        <v>119865</v>
      </c>
      <c r="J15" s="716"/>
      <c r="K15" s="716">
        <f>I15+818</f>
        <v>120683</v>
      </c>
      <c r="L15" s="175"/>
      <c r="M15" s="175" t="s">
        <v>0</v>
      </c>
      <c r="N15" s="175"/>
      <c r="O15" s="175"/>
      <c r="P15" s="175"/>
      <c r="Q15" s="175"/>
    </row>
    <row r="16" spans="1:17">
      <c r="A16" s="240"/>
      <c r="B16" s="240"/>
      <c r="C16" s="240"/>
      <c r="D16" s="335"/>
      <c r="E16" s="240"/>
      <c r="F16" s="240"/>
      <c r="G16" s="240"/>
      <c r="H16" s="240"/>
      <c r="I16" s="716">
        <v>119867</v>
      </c>
      <c r="J16" s="716"/>
      <c r="K16" s="714"/>
      <c r="L16" s="10"/>
      <c r="M16" s="10"/>
      <c r="N16" s="10"/>
      <c r="O16" s="10"/>
      <c r="P16" s="10"/>
    </row>
    <row r="17" spans="1:16" s="160" customFormat="1">
      <c r="A17" s="240"/>
      <c r="B17" s="240"/>
      <c r="C17" s="240"/>
      <c r="D17" s="335"/>
      <c r="E17" s="240"/>
      <c r="F17" s="240"/>
      <c r="G17" s="240"/>
      <c r="H17" s="240"/>
      <c r="I17" s="716" t="s">
        <v>0</v>
      </c>
      <c r="J17" s="714"/>
      <c r="K17" s="714"/>
      <c r="L17" s="10"/>
      <c r="M17" s="10"/>
      <c r="N17" s="10"/>
      <c r="O17" s="10"/>
      <c r="P17" s="10"/>
    </row>
    <row r="18" spans="1:16" s="160" customFormat="1">
      <c r="A18" s="240"/>
      <c r="B18" s="240"/>
      <c r="C18" s="240"/>
      <c r="D18" s="335"/>
      <c r="E18" s="240"/>
      <c r="F18" s="240"/>
      <c r="G18" s="240"/>
      <c r="H18" s="240"/>
      <c r="I18" s="10"/>
      <c r="J18" s="10"/>
      <c r="K18" s="10"/>
      <c r="L18" s="10"/>
      <c r="M18" s="10"/>
      <c r="N18" s="10"/>
      <c r="O18" s="10"/>
      <c r="P18" s="10"/>
    </row>
    <row r="19" spans="1:16">
      <c r="A19" s="240"/>
      <c r="B19" s="240"/>
      <c r="C19" s="240"/>
      <c r="D19" s="335"/>
      <c r="E19" s="240"/>
      <c r="F19" s="240"/>
      <c r="G19" s="240"/>
      <c r="H19" s="240"/>
      <c r="I19" s="10"/>
      <c r="J19" s="10"/>
      <c r="K19" s="10"/>
      <c r="L19" s="10"/>
      <c r="M19" s="10"/>
      <c r="N19" s="10"/>
      <c r="O19" s="10"/>
      <c r="P19" s="10"/>
    </row>
    <row r="20" spans="1:16" ht="18.75">
      <c r="A20" s="445" t="s">
        <v>689</v>
      </c>
      <c r="B20" s="445"/>
      <c r="C20" s="587"/>
      <c r="D20" s="143"/>
      <c r="E20" s="73"/>
      <c r="F20" s="73"/>
      <c r="G20" s="240"/>
      <c r="H20" s="240"/>
      <c r="I20" s="10"/>
      <c r="J20" s="10"/>
      <c r="K20" s="10"/>
      <c r="L20" s="10"/>
      <c r="M20" s="10"/>
      <c r="N20" s="10"/>
      <c r="O20" s="10"/>
      <c r="P20" s="10"/>
    </row>
    <row r="21" spans="1:16" s="160" customFormat="1" ht="18.75">
      <c r="A21" s="188"/>
      <c r="B21" s="188"/>
      <c r="C21" s="368"/>
      <c r="D21" s="73"/>
      <c r="E21" s="73"/>
      <c r="F21" s="73"/>
      <c r="G21" s="240"/>
      <c r="H21" s="240"/>
      <c r="I21" s="10"/>
      <c r="J21" s="10"/>
      <c r="K21" s="10"/>
      <c r="L21" s="10"/>
      <c r="M21" s="10"/>
      <c r="N21" s="10"/>
      <c r="O21" s="10"/>
      <c r="P21" s="10"/>
    </row>
    <row r="22" spans="1:16">
      <c r="A22" s="602"/>
      <c r="B22" s="603"/>
      <c r="C22" s="199">
        <v>2015</v>
      </c>
      <c r="D22" s="229">
        <v>2016</v>
      </c>
      <c r="E22" s="229">
        <v>2017</v>
      </c>
      <c r="F22" s="229">
        <v>2018</v>
      </c>
      <c r="G22" s="229">
        <v>2019</v>
      </c>
      <c r="H22" s="229">
        <v>2020</v>
      </c>
      <c r="I22" s="229">
        <v>2021</v>
      </c>
      <c r="J22" s="229">
        <v>2022</v>
      </c>
      <c r="K22" s="520">
        <v>2023</v>
      </c>
      <c r="L22" s="10"/>
      <c r="M22" s="10"/>
      <c r="N22" s="10"/>
      <c r="O22" s="10"/>
      <c r="P22" s="10"/>
    </row>
    <row r="23" spans="1:16">
      <c r="A23" s="143" t="s">
        <v>29</v>
      </c>
      <c r="B23" s="175"/>
      <c r="C23" s="244">
        <v>4364</v>
      </c>
      <c r="D23" s="245">
        <v>4422</v>
      </c>
      <c r="E23" s="245">
        <v>4485</v>
      </c>
      <c r="F23" s="245">
        <v>4528</v>
      </c>
      <c r="G23" s="245">
        <v>4608</v>
      </c>
      <c r="H23" s="245">
        <v>4685</v>
      </c>
      <c r="I23" s="242">
        <v>4812</v>
      </c>
      <c r="J23" s="242">
        <v>4885</v>
      </c>
      <c r="K23" s="490">
        <v>4984</v>
      </c>
      <c r="L23" s="729">
        <f>$K23/$K27</f>
        <v>0.16900644286198713</v>
      </c>
      <c r="M23" s="730" t="s">
        <v>484</v>
      </c>
      <c r="N23" s="731"/>
      <c r="O23" s="714"/>
      <c r="P23" s="10" t="s">
        <v>0</v>
      </c>
    </row>
    <row r="24" spans="1:16">
      <c r="A24" s="143" t="s">
        <v>26</v>
      </c>
      <c r="B24" s="175"/>
      <c r="C24" s="246">
        <v>8808</v>
      </c>
      <c r="D24" s="245">
        <v>8928</v>
      </c>
      <c r="E24" s="245">
        <v>9109</v>
      </c>
      <c r="F24" s="245">
        <v>9281</v>
      </c>
      <c r="G24" s="245">
        <v>9444</v>
      </c>
      <c r="H24" s="245">
        <v>9680</v>
      </c>
      <c r="I24" s="242">
        <v>9839</v>
      </c>
      <c r="J24" s="242">
        <v>9944</v>
      </c>
      <c r="K24" s="490">
        <v>10097</v>
      </c>
      <c r="L24" s="729">
        <f>K24/K27</f>
        <v>0.34238724991522551</v>
      </c>
      <c r="M24" s="714"/>
      <c r="N24" s="731"/>
      <c r="O24" s="714"/>
      <c r="P24" s="10"/>
    </row>
    <row r="25" spans="1:16">
      <c r="A25" s="143" t="s">
        <v>27</v>
      </c>
      <c r="B25" s="175"/>
      <c r="C25" s="246">
        <v>6197</v>
      </c>
      <c r="D25" s="245">
        <v>6184</v>
      </c>
      <c r="E25" s="245">
        <v>6305</v>
      </c>
      <c r="F25" s="245">
        <v>6357</v>
      </c>
      <c r="G25" s="245">
        <v>6510</v>
      </c>
      <c r="H25" s="245">
        <v>6591</v>
      </c>
      <c r="I25" s="242">
        <v>6835</v>
      </c>
      <c r="J25" s="242">
        <v>6892</v>
      </c>
      <c r="K25" s="490">
        <v>6960</v>
      </c>
      <c r="L25" s="729">
        <f>K25/K27</f>
        <v>0.23601220752797558</v>
      </c>
      <c r="M25" s="714"/>
      <c r="N25" s="714"/>
      <c r="O25" s="714"/>
      <c r="P25" s="10"/>
    </row>
    <row r="26" spans="1:16" ht="15.75" customHeight="1">
      <c r="A26" s="434" t="s">
        <v>28</v>
      </c>
      <c r="B26" s="604"/>
      <c r="C26" s="246">
        <v>6605</v>
      </c>
      <c r="D26" s="247">
        <v>6677</v>
      </c>
      <c r="E26" s="247">
        <v>6769</v>
      </c>
      <c r="F26" s="247">
        <v>6871</v>
      </c>
      <c r="G26" s="247">
        <v>6945</v>
      </c>
      <c r="H26" s="247">
        <v>7106</v>
      </c>
      <c r="I26" s="247">
        <v>7248</v>
      </c>
      <c r="J26" s="247">
        <v>7364</v>
      </c>
      <c r="K26" s="490">
        <v>7448</v>
      </c>
      <c r="L26" s="729">
        <f>K26/K27</f>
        <v>0.25256018989487961</v>
      </c>
      <c r="M26" s="714"/>
      <c r="N26" s="714"/>
      <c r="O26" s="714"/>
      <c r="P26" s="10"/>
    </row>
    <row r="27" spans="1:16" ht="15.75" customHeight="1">
      <c r="A27" s="174"/>
      <c r="B27" s="175"/>
      <c r="C27" s="248">
        <f>SUM(C23:C26)</f>
        <v>25974</v>
      </c>
      <c r="D27" s="249">
        <v>26211</v>
      </c>
      <c r="E27" s="249">
        <f>SUM(E23:E26)</f>
        <v>26668</v>
      </c>
      <c r="F27" s="249">
        <v>27038</v>
      </c>
      <c r="G27" s="249">
        <f>SUM(G23:G26)</f>
        <v>27507</v>
      </c>
      <c r="H27" s="249">
        <f>SUM(H23:H26)</f>
        <v>28062</v>
      </c>
      <c r="I27" s="249">
        <v>28062</v>
      </c>
      <c r="J27" s="249">
        <f>SUM(J23:J26)</f>
        <v>29085</v>
      </c>
      <c r="K27" s="490">
        <v>29490</v>
      </c>
      <c r="L27" s="729">
        <v>1</v>
      </c>
      <c r="M27" s="714"/>
      <c r="N27" s="714"/>
      <c r="O27" s="714"/>
      <c r="P27" s="10"/>
    </row>
    <row r="28" spans="1:16" ht="17.25">
      <c r="A28" s="174"/>
      <c r="B28" s="174"/>
      <c r="C28" s="174"/>
      <c r="D28" s="174"/>
      <c r="E28" s="174"/>
      <c r="F28" s="174"/>
      <c r="G28" s="174"/>
      <c r="H28" s="174"/>
      <c r="I28" s="252"/>
      <c r="J28" s="252"/>
      <c r="K28" s="10"/>
      <c r="L28" s="10"/>
      <c r="M28" s="10"/>
      <c r="N28" s="10"/>
      <c r="O28" s="10"/>
      <c r="P28" s="10"/>
    </row>
    <row r="29" spans="1:16">
      <c r="A29" s="75" t="s">
        <v>109</v>
      </c>
      <c r="B29" s="10"/>
      <c r="C29" s="10"/>
      <c r="D29" s="10"/>
      <c r="E29" s="10"/>
      <c r="F29" s="10"/>
      <c r="G29" s="10"/>
      <c r="H29" s="10"/>
      <c r="I29" s="10"/>
      <c r="J29" s="10"/>
      <c r="K29" s="10"/>
      <c r="L29" s="10"/>
      <c r="M29" s="10"/>
      <c r="N29" s="10"/>
      <c r="O29" s="10"/>
      <c r="P29" s="10"/>
    </row>
    <row r="30" spans="1:16" ht="15.75">
      <c r="A30" s="10"/>
      <c r="C30" s="10"/>
      <c r="D30" s="10"/>
      <c r="E30" s="228"/>
      <c r="F30" s="240"/>
      <c r="G30" s="10"/>
      <c r="H30" s="240"/>
      <c r="I30" s="10"/>
      <c r="J30" s="10"/>
      <c r="K30" s="10"/>
      <c r="L30" s="10"/>
      <c r="M30" s="10"/>
      <c r="N30" s="10"/>
      <c r="O30" s="10"/>
      <c r="P30" s="10"/>
    </row>
    <row r="31" spans="1:16">
      <c r="B31" s="10"/>
      <c r="C31" s="10"/>
      <c r="D31" s="10"/>
      <c r="E31" s="10"/>
      <c r="F31" s="10"/>
      <c r="G31" s="10"/>
      <c r="H31" s="240"/>
      <c r="I31" s="10"/>
      <c r="J31" s="10"/>
      <c r="K31" s="10"/>
      <c r="L31" s="10"/>
      <c r="M31" s="10"/>
      <c r="N31" s="10"/>
      <c r="O31" s="10"/>
      <c r="P31" s="10"/>
    </row>
    <row r="32" spans="1:16">
      <c r="A32" s="75" t="s">
        <v>568</v>
      </c>
      <c r="B32" s="75"/>
      <c r="C32" s="75"/>
      <c r="D32" s="75"/>
      <c r="E32" s="305"/>
      <c r="F32" s="75"/>
      <c r="G32" s="305"/>
      <c r="H32" s="75"/>
      <c r="I32" s="75"/>
      <c r="J32" s="75"/>
      <c r="K32" s="75"/>
      <c r="L32" s="75"/>
      <c r="M32" s="75"/>
      <c r="N32" s="75"/>
      <c r="O32" s="10"/>
      <c r="P32" s="10"/>
    </row>
    <row r="33" spans="1:16">
      <c r="A33" s="605"/>
      <c r="B33" s="75"/>
      <c r="C33" s="75"/>
      <c r="D33" s="75"/>
      <c r="E33" s="75"/>
      <c r="F33" s="305"/>
      <c r="G33" s="75"/>
      <c r="H33" s="305"/>
      <c r="I33" s="75"/>
      <c r="J33" s="75"/>
      <c r="K33" s="75"/>
      <c r="L33" s="75"/>
      <c r="M33" s="75"/>
      <c r="N33" s="75"/>
      <c r="O33" s="10"/>
      <c r="P33" s="10"/>
    </row>
    <row r="34" spans="1:16" ht="88.5" customHeight="1">
      <c r="A34" s="834" t="s">
        <v>463</v>
      </c>
      <c r="B34" s="834"/>
      <c r="C34" s="834"/>
      <c r="D34" s="834"/>
      <c r="E34" s="834"/>
      <c r="F34" s="834"/>
      <c r="G34" s="834"/>
      <c r="H34" s="240"/>
      <c r="I34" s="10"/>
      <c r="J34" s="10"/>
      <c r="K34" s="10"/>
      <c r="L34" s="10"/>
      <c r="M34" s="10"/>
      <c r="N34" s="10"/>
      <c r="O34" s="10"/>
      <c r="P34" s="10"/>
    </row>
    <row r="35" spans="1:16" ht="15.75">
      <c r="A35" s="21"/>
      <c r="B35" s="21"/>
      <c r="C35" s="27"/>
      <c r="D35" s="58"/>
      <c r="E35" s="21"/>
      <c r="F35" s="2"/>
    </row>
  </sheetData>
  <customSheetViews>
    <customSheetView guid="{00BB8FC3-0B7F-4485-B1CD-FF164EC3970C}" fitToPage="1">
      <selection activeCell="A21" sqref="A21"/>
      <pageMargins left="0.70866141732283472" right="0.70866141732283472" top="0.78740157480314965" bottom="0.78740157480314965" header="0.31496062992125984" footer="0.31496062992125984"/>
      <pageSetup paperSize="9" scale="77" orientation="landscape" cellComments="asDisplayed" r:id="rId1"/>
    </customSheetView>
    <customSheetView guid="{5DDDE19F-F10F-4514-A83C-F71CDD7BE512}" fitToPage="1">
      <selection activeCell="A21" sqref="A21"/>
      <pageMargins left="0.70866141732283472" right="0.70866141732283472" top="0.78740157480314965" bottom="0.78740157480314965" header="0.31496062992125984" footer="0.31496062992125984"/>
      <pageSetup paperSize="9" scale="77" orientation="landscape" cellComments="asDisplayed" r:id="rId2"/>
    </customSheetView>
    <customSheetView guid="{9A6D0F5E-68D7-4772-8712-9975EE0A4B2C}" fitToPage="1">
      <selection activeCell="A21" sqref="A21"/>
      <pageMargins left="0.70866141732283472" right="0.70866141732283472" top="0.78740157480314965" bottom="0.78740157480314965" header="0.31496062992125984" footer="0.31496062992125984"/>
      <pageSetup paperSize="9" scale="77" orientation="landscape" cellComments="asDisplayed" r:id="rId3"/>
    </customSheetView>
  </customSheetViews>
  <mergeCells count="1">
    <mergeCell ref="A34:G34"/>
  </mergeCells>
  <pageMargins left="0.70866141732283472" right="0.70866141732283472" top="0.78740157480314965" bottom="0.78740157480314965" header="0.31496062992125984" footer="0.31496062992125984"/>
  <pageSetup paperSize="9" scale="65" orientation="landscape" cellComments="asDisplayed" r:id="rId4"/>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48"/>
  <sheetViews>
    <sheetView topLeftCell="A3" workbookViewId="0">
      <selection activeCell="F9" sqref="F9"/>
    </sheetView>
  </sheetViews>
  <sheetFormatPr baseColWidth="10" defaultRowHeight="15"/>
  <cols>
    <col min="1" max="1" width="28.28515625" customWidth="1"/>
    <col min="2" max="2" width="10.85546875"/>
    <col min="3" max="3" width="13.28515625" customWidth="1"/>
  </cols>
  <sheetData>
    <row r="1" spans="1:9" ht="39.75" customHeight="1">
      <c r="A1" s="660" t="s">
        <v>101</v>
      </c>
      <c r="B1" s="660"/>
      <c r="C1" s="432"/>
      <c r="D1" s="432"/>
      <c r="E1" s="432"/>
      <c r="F1" s="432"/>
    </row>
    <row r="2" spans="1:9" ht="15" customHeight="1">
      <c r="B2" s="21"/>
      <c r="C2" s="21"/>
      <c r="D2" s="21"/>
      <c r="E2" s="21"/>
      <c r="F2" s="21"/>
    </row>
    <row r="3" spans="1:9" s="160" customFormat="1" ht="276.75" customHeight="1">
      <c r="B3" s="21"/>
      <c r="C3" s="21"/>
      <c r="D3" s="21"/>
      <c r="E3" s="21"/>
      <c r="F3" s="21"/>
    </row>
    <row r="4" spans="1:9" s="160" customFormat="1" ht="15.75">
      <c r="B4" s="21"/>
      <c r="C4" s="21"/>
      <c r="D4" s="21"/>
      <c r="E4" s="21"/>
      <c r="F4" s="21"/>
    </row>
    <row r="5" spans="1:9" s="73" customFormat="1" ht="18.75">
      <c r="A5" s="109" t="s">
        <v>690</v>
      </c>
      <c r="B5" s="33"/>
      <c r="C5" s="33"/>
      <c r="D5" s="606"/>
      <c r="E5" s="21"/>
      <c r="F5" s="767" t="s">
        <v>506</v>
      </c>
      <c r="G5" s="768"/>
      <c r="H5" s="768"/>
      <c r="I5"/>
    </row>
    <row r="6" spans="1:9" ht="15.75">
      <c r="A6" s="10"/>
      <c r="B6" s="10"/>
      <c r="C6" s="10"/>
      <c r="D6" s="607" t="s">
        <v>105</v>
      </c>
      <c r="E6" s="21"/>
    </row>
    <row r="7" spans="1:9" ht="15.75">
      <c r="A7" s="10" t="s">
        <v>161</v>
      </c>
      <c r="B7" s="10"/>
      <c r="C7" s="164">
        <v>20913</v>
      </c>
      <c r="D7" s="608">
        <f>C7/$C$17*100</f>
        <v>72.700410206493785</v>
      </c>
      <c r="E7" s="21"/>
    </row>
    <row r="8" spans="1:9" ht="15.75">
      <c r="A8" s="10" t="s">
        <v>162</v>
      </c>
      <c r="B8" s="10"/>
      <c r="C8" s="164">
        <v>906</v>
      </c>
      <c r="D8" s="608">
        <f t="shared" ref="D8:D16" si="0">C8/$C$17*100</f>
        <v>3.1495515539178198</v>
      </c>
      <c r="E8" s="21"/>
    </row>
    <row r="9" spans="1:9" ht="15.75">
      <c r="A9" s="10" t="s">
        <v>163</v>
      </c>
      <c r="B9" s="10"/>
      <c r="C9" s="164">
        <v>885</v>
      </c>
      <c r="D9" s="608">
        <f t="shared" si="0"/>
        <v>3.0765487033303205</v>
      </c>
      <c r="E9" s="21"/>
    </row>
    <row r="10" spans="1:9" ht="15.75">
      <c r="A10" s="10" t="s">
        <v>164</v>
      </c>
      <c r="B10" s="10"/>
      <c r="C10" s="164">
        <v>5135</v>
      </c>
      <c r="D10" s="608">
        <f t="shared" si="0"/>
        <v>17.850935131752763</v>
      </c>
      <c r="E10" s="21"/>
    </row>
    <row r="11" spans="1:9" ht="15.75">
      <c r="A11" s="240" t="s">
        <v>165</v>
      </c>
      <c r="B11" s="240"/>
      <c r="C11" s="238">
        <v>458</v>
      </c>
      <c r="D11" s="608">
        <f t="shared" si="0"/>
        <v>1.5921574080511716</v>
      </c>
      <c r="E11" s="21"/>
    </row>
    <row r="12" spans="1:9" s="5" customFormat="1" ht="18.75">
      <c r="A12" s="10" t="s">
        <v>166</v>
      </c>
      <c r="B12" s="10"/>
      <c r="C12" s="164">
        <v>86</v>
      </c>
      <c r="D12" s="608">
        <f t="shared" si="0"/>
        <v>0.29896405478690119</v>
      </c>
      <c r="G12" s="73"/>
      <c r="H12" s="73"/>
      <c r="I12" s="73"/>
    </row>
    <row r="13" spans="1:9" s="5" customFormat="1">
      <c r="A13" s="10" t="s">
        <v>167</v>
      </c>
      <c r="B13" s="10"/>
      <c r="C13" s="164">
        <v>55</v>
      </c>
      <c r="D13" s="608">
        <f t="shared" si="0"/>
        <v>0.19119794201487866</v>
      </c>
      <c r="G13"/>
      <c r="H13"/>
      <c r="I13"/>
    </row>
    <row r="14" spans="1:9">
      <c r="A14" s="10" t="s">
        <v>168</v>
      </c>
      <c r="B14" s="10"/>
      <c r="C14" s="164">
        <v>184</v>
      </c>
      <c r="D14" s="608">
        <f t="shared" si="0"/>
        <v>0.63964402419523048</v>
      </c>
    </row>
    <row r="15" spans="1:9">
      <c r="A15" s="10" t="s">
        <v>169</v>
      </c>
      <c r="B15" s="10"/>
      <c r="C15" s="164">
        <v>63</v>
      </c>
      <c r="D15" s="608">
        <f t="shared" si="0"/>
        <v>0.21900855176249737</v>
      </c>
    </row>
    <row r="16" spans="1:9">
      <c r="A16" s="10" t="s">
        <v>170</v>
      </c>
      <c r="B16" s="10"/>
      <c r="C16" s="164">
        <v>26</v>
      </c>
      <c r="D16" s="608">
        <f t="shared" si="0"/>
        <v>9.0384481679760834E-2</v>
      </c>
    </row>
    <row r="17" spans="1:9">
      <c r="A17" s="410" t="s">
        <v>47</v>
      </c>
      <c r="B17" s="410"/>
      <c r="C17" s="464">
        <v>28766</v>
      </c>
      <c r="D17" s="609">
        <v>100</v>
      </c>
    </row>
    <row r="19" spans="1:9">
      <c r="A19" s="5"/>
      <c r="B19" s="5"/>
      <c r="C19" s="5"/>
      <c r="D19" s="5"/>
      <c r="G19" s="10"/>
      <c r="H19" s="10"/>
      <c r="I19" s="10"/>
    </row>
    <row r="20" spans="1:9" s="143" customFormat="1">
      <c r="A20" s="75" t="s">
        <v>109</v>
      </c>
      <c r="B20" s="5"/>
      <c r="C20" s="5"/>
      <c r="D20" s="5"/>
    </row>
    <row r="21" spans="1:9" s="160" customFormat="1">
      <c r="A21"/>
      <c r="B21"/>
      <c r="C21"/>
      <c r="D21"/>
      <c r="G21" s="5"/>
      <c r="H21" s="5"/>
      <c r="I21" s="5"/>
    </row>
    <row r="22" spans="1:9">
      <c r="G22" s="5"/>
      <c r="H22" s="5"/>
      <c r="I22" s="5"/>
    </row>
    <row r="25" spans="1:9">
      <c r="G25" s="160"/>
    </row>
    <row r="26" spans="1:9">
      <c r="G26" s="160"/>
    </row>
    <row r="27" spans="1:9" ht="14.45" customHeight="1">
      <c r="A27" s="143"/>
      <c r="B27" s="143"/>
      <c r="C27" s="143"/>
      <c r="D27" s="143"/>
      <c r="G27" s="160"/>
    </row>
    <row r="28" spans="1:9" ht="57" customHeight="1">
      <c r="A28" s="160"/>
      <c r="B28" s="160"/>
      <c r="C28" s="160"/>
      <c r="D28" s="160"/>
      <c r="G28" s="160"/>
    </row>
    <row r="29" spans="1:9" ht="24.75" customHeight="1">
      <c r="G29" s="160"/>
    </row>
    <row r="30" spans="1:9">
      <c r="G30" s="160"/>
    </row>
    <row r="31" spans="1:9">
      <c r="G31" s="160"/>
    </row>
    <row r="32" spans="1:9">
      <c r="G32" s="160"/>
    </row>
    <row r="33" spans="1:7">
      <c r="G33" s="160"/>
    </row>
    <row r="34" spans="1:7">
      <c r="G34" s="160"/>
    </row>
    <row r="36" spans="1:7" ht="30.75" customHeight="1"/>
    <row r="40" spans="1:7">
      <c r="E40" s="51"/>
      <c r="F40" s="18"/>
    </row>
    <row r="41" spans="1:7">
      <c r="E41" s="51"/>
      <c r="F41" s="20"/>
    </row>
    <row r="47" spans="1:7">
      <c r="A47" s="18"/>
      <c r="B47" s="18"/>
      <c r="C47" s="19"/>
      <c r="D47" s="18"/>
    </row>
    <row r="48" spans="1:7">
      <c r="B48" s="18"/>
      <c r="C48" s="19"/>
      <c r="D48" s="18"/>
    </row>
  </sheetData>
  <customSheetViews>
    <customSheetView guid="{00BB8FC3-0B7F-4485-B1CD-FF164EC3970C}" fitToPage="1">
      <selection activeCell="G14" sqref="G14"/>
      <pageMargins left="0.7" right="0.7" top="0.78740157499999996" bottom="0.78740157499999996" header="0.3" footer="0.3"/>
      <pageSetup paperSize="9" scale="79" fitToHeight="0" orientation="portrait" r:id="rId1"/>
    </customSheetView>
    <customSheetView guid="{5DDDE19F-F10F-4514-A83C-F71CDD7BE512}" fitToPage="1">
      <selection activeCell="G14" sqref="G14"/>
      <pageMargins left="0.7" right="0.7" top="0.78740157499999996" bottom="0.78740157499999996" header="0.3" footer="0.3"/>
      <pageSetup paperSize="9" scale="79" fitToHeight="0" orientation="portrait" r:id="rId2"/>
    </customSheetView>
    <customSheetView guid="{9A6D0F5E-68D7-4772-8712-9975EE0A4B2C}" fitToPage="1">
      <selection activeCell="G14" sqref="G14"/>
      <pageMargins left="0.7" right="0.7" top="0.78740157499999996" bottom="0.78740157499999996" header="0.3" footer="0.3"/>
      <pageSetup paperSize="9" scale="79" fitToHeight="0" orientation="portrait" r:id="rId3"/>
    </customSheetView>
  </customSheetViews>
  <pageMargins left="0.7" right="0.7" top="0.78740157499999996" bottom="0.78740157499999996" header="0.3" footer="0.3"/>
  <pageSetup paperSize="9" scale="79" fitToHeight="0" orientation="portrait"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39"/>
  <sheetViews>
    <sheetView workbookViewId="0">
      <selection activeCell="I16" sqref="I16"/>
    </sheetView>
  </sheetViews>
  <sheetFormatPr baseColWidth="10" defaultRowHeight="15"/>
  <cols>
    <col min="1" max="1" width="22.42578125" customWidth="1"/>
    <col min="2" max="2" width="13.28515625" customWidth="1"/>
    <col min="3" max="4" width="10.85546875"/>
    <col min="5" max="5" width="11.85546875" customWidth="1"/>
    <col min="6" max="6" width="11.28515625" bestFit="1" customWidth="1"/>
    <col min="7" max="7" width="9.7109375" bestFit="1" customWidth="1"/>
  </cols>
  <sheetData>
    <row r="1" spans="1:12" ht="39.75" customHeight="1">
      <c r="A1" s="796" t="s">
        <v>652</v>
      </c>
      <c r="B1" s="796"/>
      <c r="C1" s="796"/>
      <c r="D1" s="796"/>
      <c r="E1" s="796"/>
      <c r="F1" s="796"/>
      <c r="G1" s="160"/>
      <c r="J1" s="71"/>
      <c r="K1" s="71"/>
      <c r="L1" s="71"/>
    </row>
    <row r="2" spans="1:12" ht="15" customHeight="1">
      <c r="A2" s="796"/>
      <c r="B2" s="796"/>
      <c r="C2" s="796"/>
      <c r="D2" s="796"/>
      <c r="E2" s="796"/>
      <c r="F2" s="796"/>
    </row>
    <row r="4" spans="1:12" ht="18">
      <c r="A4" s="837" t="s">
        <v>171</v>
      </c>
      <c r="B4" s="836" t="s">
        <v>172</v>
      </c>
      <c r="C4" s="837" t="s">
        <v>440</v>
      </c>
      <c r="D4" s="837"/>
      <c r="E4" s="837"/>
      <c r="F4" s="836" t="s">
        <v>173</v>
      </c>
      <c r="J4" s="68"/>
      <c r="K4" s="68"/>
      <c r="L4" s="68"/>
    </row>
    <row r="5" spans="1:12">
      <c r="A5" s="837"/>
      <c r="B5" s="836"/>
      <c r="C5" s="307" t="s">
        <v>174</v>
      </c>
      <c r="D5" s="307" t="s">
        <v>175</v>
      </c>
      <c r="E5" s="307" t="s">
        <v>80</v>
      </c>
      <c r="F5" s="837"/>
    </row>
    <row r="6" spans="1:12">
      <c r="A6" s="298">
        <v>2014</v>
      </c>
      <c r="B6" s="238">
        <v>1330</v>
      </c>
      <c r="C6" s="170">
        <v>439</v>
      </c>
      <c r="D6" s="170">
        <v>701</v>
      </c>
      <c r="E6" s="238">
        <v>1140</v>
      </c>
      <c r="F6" s="170">
        <v>190</v>
      </c>
    </row>
    <row r="7" spans="1:12">
      <c r="A7" s="298">
        <v>2015</v>
      </c>
      <c r="B7" s="238">
        <v>1247</v>
      </c>
      <c r="C7" s="170">
        <v>445</v>
      </c>
      <c r="D7" s="170">
        <v>654</v>
      </c>
      <c r="E7" s="238">
        <v>1099</v>
      </c>
      <c r="F7" s="170">
        <v>148</v>
      </c>
    </row>
    <row r="8" spans="1:12" s="160" customFormat="1">
      <c r="A8" s="298">
        <v>2016</v>
      </c>
      <c r="B8" s="238">
        <v>1315</v>
      </c>
      <c r="C8" s="170">
        <v>451</v>
      </c>
      <c r="D8" s="170">
        <v>722</v>
      </c>
      <c r="E8" s="238">
        <v>1173</v>
      </c>
      <c r="F8" s="170">
        <v>142</v>
      </c>
    </row>
    <row r="9" spans="1:12" s="143" customFormat="1">
      <c r="A9" s="298">
        <v>2017</v>
      </c>
      <c r="B9" s="238">
        <v>1382</v>
      </c>
      <c r="C9" s="170">
        <v>496</v>
      </c>
      <c r="D9" s="170">
        <v>728</v>
      </c>
      <c r="E9" s="238">
        <v>1224</v>
      </c>
      <c r="F9" s="170">
        <v>158</v>
      </c>
    </row>
    <row r="10" spans="1:12" s="143" customFormat="1">
      <c r="A10" s="298">
        <v>2018</v>
      </c>
      <c r="B10" s="238">
        <v>1411</v>
      </c>
      <c r="C10" s="170">
        <v>497</v>
      </c>
      <c r="D10" s="170">
        <v>733</v>
      </c>
      <c r="E10" s="238">
        <v>1230</v>
      </c>
      <c r="F10" s="238">
        <f>B10-E10</f>
        <v>181</v>
      </c>
    </row>
    <row r="11" spans="1:12" s="160" customFormat="1">
      <c r="A11" s="298">
        <v>2019</v>
      </c>
      <c r="B11" s="238">
        <v>1350</v>
      </c>
      <c r="C11" s="170">
        <v>467</v>
      </c>
      <c r="D11" s="170">
        <v>702</v>
      </c>
      <c r="E11" s="238">
        <v>1169</v>
      </c>
      <c r="F11" s="238">
        <v>181</v>
      </c>
    </row>
    <row r="12" spans="1:12" s="160" customFormat="1">
      <c r="A12" s="298">
        <v>2020</v>
      </c>
      <c r="B12" s="238">
        <v>1414</v>
      </c>
      <c r="C12" s="170">
        <v>536</v>
      </c>
      <c r="D12" s="170">
        <v>698</v>
      </c>
      <c r="E12" s="238">
        <v>1234</v>
      </c>
      <c r="F12" s="238">
        <v>180</v>
      </c>
    </row>
    <row r="13" spans="1:12" s="143" customFormat="1">
      <c r="A13" s="392">
        <v>2021</v>
      </c>
      <c r="B13" s="242">
        <v>1607</v>
      </c>
      <c r="C13" s="184">
        <v>609</v>
      </c>
      <c r="D13" s="184">
        <v>758</v>
      </c>
      <c r="E13" s="242">
        <v>1367</v>
      </c>
      <c r="F13" s="184">
        <v>240</v>
      </c>
    </row>
    <row r="14" spans="1:12" s="143" customFormat="1">
      <c r="A14" s="392">
        <v>2022</v>
      </c>
      <c r="B14" s="242">
        <v>1437</v>
      </c>
      <c r="C14" s="184">
        <v>600</v>
      </c>
      <c r="D14" s="184">
        <v>632</v>
      </c>
      <c r="E14" s="242">
        <v>1323</v>
      </c>
      <c r="F14" s="184">
        <v>205</v>
      </c>
    </row>
    <row r="15" spans="1:12" s="160" customFormat="1">
      <c r="A15" s="531">
        <v>2023</v>
      </c>
      <c r="B15" s="521">
        <v>1517</v>
      </c>
      <c r="C15" s="457">
        <v>626</v>
      </c>
      <c r="D15" s="457">
        <v>687</v>
      </c>
      <c r="E15" s="521">
        <v>1313</v>
      </c>
      <c r="F15" s="457">
        <v>204</v>
      </c>
    </row>
    <row r="16" spans="1:12" s="160" customFormat="1">
      <c r="A16" s="14"/>
      <c r="B16" s="16"/>
      <c r="C16" s="16"/>
      <c r="D16" s="16"/>
      <c r="E16" s="16"/>
      <c r="F16" s="16"/>
    </row>
    <row r="17" spans="1:8">
      <c r="A17" s="610" t="s">
        <v>536</v>
      </c>
      <c r="B17" s="610"/>
      <c r="C17" s="610"/>
      <c r="D17" s="610"/>
      <c r="E17" s="160"/>
      <c r="F17" s="160"/>
      <c r="G17" s="36"/>
      <c r="H17" s="36"/>
    </row>
    <row r="18" spans="1:8">
      <c r="G18" s="2"/>
      <c r="H18" s="2"/>
    </row>
    <row r="19" spans="1:8">
      <c r="A19" s="838" t="s">
        <v>176</v>
      </c>
      <c r="B19" s="840">
        <v>2022</v>
      </c>
      <c r="C19" s="840"/>
      <c r="D19" s="841">
        <v>2023</v>
      </c>
      <c r="E19" s="841"/>
      <c r="F19" s="839"/>
      <c r="G19" s="2"/>
      <c r="H19" s="2"/>
    </row>
    <row r="20" spans="1:8">
      <c r="A20" s="838"/>
      <c r="B20" s="574" t="s">
        <v>421</v>
      </c>
      <c r="C20" s="574" t="s">
        <v>177</v>
      </c>
      <c r="D20" s="700" t="s">
        <v>421</v>
      </c>
      <c r="E20" s="700" t="s">
        <v>177</v>
      </c>
      <c r="F20" s="839"/>
      <c r="G20" s="2"/>
      <c r="H20" s="2"/>
    </row>
    <row r="21" spans="1:8">
      <c r="A21" s="2" t="s">
        <v>178</v>
      </c>
      <c r="B21" s="184">
        <v>705</v>
      </c>
      <c r="C21" s="184">
        <v>46.9</v>
      </c>
      <c r="D21" s="457">
        <v>773</v>
      </c>
      <c r="E21" s="701">
        <f>D21*100/D28</f>
        <v>50.95583388266315</v>
      </c>
      <c r="F21" s="61"/>
      <c r="G21" s="2"/>
      <c r="H21" s="2"/>
    </row>
    <row r="22" spans="1:8">
      <c r="A22" s="2" t="s">
        <v>111</v>
      </c>
      <c r="B22" s="184">
        <v>4</v>
      </c>
      <c r="C22" s="575">
        <v>0.2</v>
      </c>
      <c r="D22" s="457">
        <v>5</v>
      </c>
      <c r="E22" s="701">
        <f>D22*100/D28</f>
        <v>0.32959789057350031</v>
      </c>
      <c r="F22" s="61"/>
      <c r="G22" s="2"/>
      <c r="H22" s="2"/>
    </row>
    <row r="23" spans="1:8">
      <c r="A23" s="2" t="s">
        <v>112</v>
      </c>
      <c r="B23" s="184">
        <v>328</v>
      </c>
      <c r="C23" s="575">
        <v>25.9</v>
      </c>
      <c r="D23" s="457">
        <v>327</v>
      </c>
      <c r="E23" s="701">
        <f>D23*100/D28</f>
        <v>21.555702043506923</v>
      </c>
      <c r="F23" s="61"/>
      <c r="G23" s="2"/>
      <c r="H23" s="2"/>
    </row>
    <row r="24" spans="1:8">
      <c r="A24" s="2" t="s">
        <v>179</v>
      </c>
      <c r="B24" s="184">
        <v>0</v>
      </c>
      <c r="C24" s="575">
        <v>0</v>
      </c>
      <c r="D24" s="457">
        <v>1</v>
      </c>
      <c r="E24" s="701">
        <f>D24*100/D28</f>
        <v>6.5919578114700061E-2</v>
      </c>
      <c r="F24" s="61"/>
      <c r="G24" s="2"/>
      <c r="H24" s="2"/>
    </row>
    <row r="25" spans="1:8">
      <c r="A25" s="2" t="s">
        <v>119</v>
      </c>
      <c r="B25" s="184">
        <v>66</v>
      </c>
      <c r="C25" s="575">
        <v>3.9</v>
      </c>
      <c r="D25" s="457">
        <v>55</v>
      </c>
      <c r="E25" s="701">
        <f>D25*100/D28</f>
        <v>3.6255767963085037</v>
      </c>
      <c r="F25" s="61"/>
      <c r="G25" s="2"/>
      <c r="H25" s="2"/>
    </row>
    <row r="26" spans="1:8">
      <c r="A26" s="2" t="s">
        <v>180</v>
      </c>
      <c r="B26" s="184">
        <v>112</v>
      </c>
      <c r="C26" s="184">
        <v>8.3000000000000007</v>
      </c>
      <c r="D26" s="457">
        <v>133</v>
      </c>
      <c r="E26" s="701">
        <f>D26*100/D28</f>
        <v>8.7673038892551087</v>
      </c>
      <c r="F26" s="61"/>
      <c r="G26" s="2"/>
      <c r="H26" s="2"/>
    </row>
    <row r="27" spans="1:8">
      <c r="A27" s="2" t="s">
        <v>181</v>
      </c>
      <c r="B27" s="184">
        <v>222</v>
      </c>
      <c r="C27" s="184">
        <v>14.7</v>
      </c>
      <c r="D27" s="457">
        <v>223</v>
      </c>
      <c r="E27" s="701">
        <f>D27*100/D28</f>
        <v>14.700065919578115</v>
      </c>
      <c r="F27" s="61"/>
      <c r="G27" s="2"/>
      <c r="H27" s="2"/>
    </row>
    <row r="28" spans="1:8">
      <c r="A28" s="2"/>
      <c r="B28" s="242">
        <f>SUM(B21:B27)</f>
        <v>1437</v>
      </c>
      <c r="C28" s="576">
        <f>SUM(C21:C27)</f>
        <v>99.9</v>
      </c>
      <c r="D28" s="521">
        <v>1517</v>
      </c>
      <c r="E28" s="701">
        <f>SUM(E21:E27)</f>
        <v>100</v>
      </c>
      <c r="F28" s="74"/>
      <c r="G28" s="2"/>
      <c r="H28" s="2"/>
    </row>
    <row r="29" spans="1:8">
      <c r="A29" s="2"/>
      <c r="B29" s="15"/>
      <c r="C29" s="60"/>
      <c r="D29" s="15"/>
      <c r="E29" s="60"/>
      <c r="F29" s="61"/>
      <c r="G29" s="2"/>
      <c r="H29" s="2"/>
    </row>
    <row r="30" spans="1:8">
      <c r="A30" s="835" t="s">
        <v>654</v>
      </c>
      <c r="B30" s="835"/>
      <c r="C30" s="835"/>
      <c r="D30" s="835"/>
      <c r="E30" s="835"/>
      <c r="F30" s="835"/>
      <c r="G30" s="2"/>
      <c r="H30" s="2"/>
    </row>
    <row r="31" spans="1:8">
      <c r="A31" s="316" t="s">
        <v>655</v>
      </c>
      <c r="B31" s="75"/>
      <c r="C31" s="75"/>
      <c r="D31" s="75"/>
      <c r="E31" s="75"/>
      <c r="F31" s="75"/>
      <c r="G31" s="2"/>
      <c r="H31" s="2"/>
    </row>
    <row r="32" spans="1:8">
      <c r="A32" s="75" t="s">
        <v>653</v>
      </c>
      <c r="B32" s="75"/>
      <c r="C32" s="75"/>
      <c r="D32" s="75"/>
      <c r="E32" s="75"/>
      <c r="F32" s="75"/>
      <c r="G32" s="2"/>
      <c r="H32" s="2"/>
    </row>
    <row r="33" spans="1:12">
      <c r="A33" s="2"/>
      <c r="G33" s="2"/>
      <c r="H33" s="2"/>
    </row>
    <row r="34" spans="1:12">
      <c r="A34" s="2"/>
      <c r="B34" s="2"/>
      <c r="C34" s="2"/>
      <c r="D34" s="39"/>
      <c r="E34" s="2"/>
      <c r="F34" s="2"/>
      <c r="G34" s="2"/>
      <c r="H34" s="2"/>
    </row>
    <row r="35" spans="1:12">
      <c r="B35" s="2"/>
      <c r="C35" s="2"/>
      <c r="D35" s="39"/>
      <c r="E35" s="2"/>
      <c r="F35" s="2"/>
      <c r="G35" s="2"/>
      <c r="H35" s="2"/>
    </row>
    <row r="36" spans="1:12">
      <c r="B36" s="2"/>
      <c r="C36" s="2"/>
      <c r="D36" s="39"/>
      <c r="E36" s="2"/>
      <c r="F36" s="2"/>
      <c r="G36" s="2"/>
      <c r="H36" s="2"/>
    </row>
    <row r="37" spans="1:12">
      <c r="B37" s="2"/>
      <c r="C37" s="2"/>
      <c r="D37" s="39"/>
      <c r="E37" s="2"/>
      <c r="F37" s="2"/>
      <c r="G37" s="2"/>
      <c r="H37" s="2"/>
    </row>
    <row r="38" spans="1:12">
      <c r="B38" s="2"/>
      <c r="C38" s="2"/>
      <c r="D38" s="39"/>
      <c r="E38" s="2"/>
      <c r="F38" s="2"/>
      <c r="G38" s="2"/>
      <c r="H38" s="2"/>
    </row>
    <row r="39" spans="1:12" ht="20.25">
      <c r="K39" s="799"/>
      <c r="L39" s="799"/>
    </row>
  </sheetData>
  <customSheetViews>
    <customSheetView guid="{00BB8FC3-0B7F-4485-B1CD-FF164EC3970C}" fitToPage="1">
      <selection activeCell="H21" sqref="H21"/>
      <pageMargins left="0.7" right="0.7" top="0.78740157499999996" bottom="0.78740157499999996" header="0.3" footer="0.3"/>
      <pageSetup paperSize="9" orientation="portrait" r:id="rId1"/>
    </customSheetView>
    <customSheetView guid="{5DDDE19F-F10F-4514-A83C-F71CDD7BE512}" fitToPage="1">
      <selection activeCell="H21" sqref="H21"/>
      <pageMargins left="0.7" right="0.7" top="0.78740157499999996" bottom="0.78740157499999996" header="0.3" footer="0.3"/>
      <pageSetup paperSize="9" orientation="portrait" r:id="rId2"/>
    </customSheetView>
    <customSheetView guid="{9A6D0F5E-68D7-4772-8712-9975EE0A4B2C}" fitToPage="1">
      <selection activeCell="H21" sqref="H21"/>
      <pageMargins left="0.7" right="0.7" top="0.78740157499999996" bottom="0.78740157499999996" header="0.3" footer="0.3"/>
      <pageSetup paperSize="9" orientation="portrait" r:id="rId3"/>
    </customSheetView>
  </customSheetViews>
  <mergeCells count="11">
    <mergeCell ref="A1:F2"/>
    <mergeCell ref="K39:L39"/>
    <mergeCell ref="A30:F30"/>
    <mergeCell ref="F4:F5"/>
    <mergeCell ref="A19:A20"/>
    <mergeCell ref="F19:F20"/>
    <mergeCell ref="B19:C19"/>
    <mergeCell ref="A4:A5"/>
    <mergeCell ref="B4:B5"/>
    <mergeCell ref="C4:E4"/>
    <mergeCell ref="D19:E19"/>
  </mergeCells>
  <pageMargins left="0.7" right="0.7" top="0.78740157499999996" bottom="0.78740157499999996" header="0.3" footer="0.3"/>
  <pageSetup paperSize="9" scale="59" orientation="portrait" r:id="rId4"/>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54"/>
  <sheetViews>
    <sheetView topLeftCell="A11" workbookViewId="0">
      <selection activeCell="K39" sqref="K39"/>
    </sheetView>
  </sheetViews>
  <sheetFormatPr baseColWidth="10" defaultRowHeight="15"/>
  <sheetData>
    <row r="1" spans="1:12" ht="39.75" customHeight="1">
      <c r="A1" s="842" t="s">
        <v>407</v>
      </c>
      <c r="B1" s="842"/>
      <c r="C1" s="842"/>
      <c r="D1" s="842"/>
      <c r="E1" s="842"/>
      <c r="F1" s="842"/>
    </row>
    <row r="2" spans="1:12">
      <c r="A2" s="842"/>
      <c r="B2" s="842"/>
      <c r="C2" s="842"/>
      <c r="D2" s="842"/>
      <c r="E2" s="842"/>
      <c r="F2" s="842"/>
    </row>
    <row r="3" spans="1:12">
      <c r="A3" t="s">
        <v>408</v>
      </c>
    </row>
    <row r="5" spans="1:12">
      <c r="A5" t="s">
        <v>171</v>
      </c>
      <c r="B5" t="s">
        <v>409</v>
      </c>
      <c r="C5" t="s">
        <v>412</v>
      </c>
      <c r="D5" t="s">
        <v>410</v>
      </c>
      <c r="E5" t="s">
        <v>411</v>
      </c>
    </row>
    <row r="6" spans="1:12">
      <c r="H6" s="714">
        <v>2002</v>
      </c>
      <c r="I6" s="721">
        <v>10</v>
      </c>
      <c r="J6" s="721">
        <v>3.1</v>
      </c>
      <c r="K6" s="721">
        <v>218.8</v>
      </c>
      <c r="L6" s="721">
        <v>2.96</v>
      </c>
    </row>
    <row r="7" spans="1:12">
      <c r="A7">
        <v>2009</v>
      </c>
      <c r="B7" s="52">
        <v>13.1</v>
      </c>
      <c r="C7" s="52">
        <f>$B7/$I12*100-100</f>
        <v>-2.9629629629629619</v>
      </c>
      <c r="D7" s="52">
        <v>288</v>
      </c>
      <c r="E7" s="52">
        <f>$D7/$K12*100-100</f>
        <v>-1.9741320626276462</v>
      </c>
      <c r="H7" s="714">
        <v>2003</v>
      </c>
      <c r="I7" s="721">
        <v>10.5</v>
      </c>
      <c r="J7" s="721">
        <f t="shared" ref="J7:J12" si="0">$I7/$I6*100-100</f>
        <v>5</v>
      </c>
      <c r="K7" s="721">
        <v>223.3</v>
      </c>
      <c r="L7" s="721">
        <f t="shared" ref="L7:L12" si="1">$K7/$K6*100-100</f>
        <v>2.0566727605118871</v>
      </c>
    </row>
    <row r="8" spans="1:12">
      <c r="A8">
        <v>2010</v>
      </c>
      <c r="B8" s="52">
        <v>13.4</v>
      </c>
      <c r="C8" s="52">
        <f t="shared" ref="C8:C20" si="2">$B8/$B7*100-100</f>
        <v>2.2900763358778704</v>
      </c>
      <c r="D8" s="52">
        <v>295.89999999999998</v>
      </c>
      <c r="E8" s="52">
        <f t="shared" ref="E8:E20" si="3">$D8/$D7*100-100</f>
        <v>2.7430555555555429</v>
      </c>
      <c r="H8" s="714">
        <v>2004</v>
      </c>
      <c r="I8" s="721">
        <v>11</v>
      </c>
      <c r="J8" s="721">
        <f t="shared" si="0"/>
        <v>4.7619047619047734</v>
      </c>
      <c r="K8" s="721">
        <v>232.8</v>
      </c>
      <c r="L8" s="721">
        <f t="shared" si="1"/>
        <v>4.2543663233318512</v>
      </c>
    </row>
    <row r="9" spans="1:12">
      <c r="A9">
        <v>2011</v>
      </c>
      <c r="B9" s="52">
        <v>14.2</v>
      </c>
      <c r="C9" s="52">
        <f t="shared" si="2"/>
        <v>5.9701492537313356</v>
      </c>
      <c r="D9" s="52">
        <v>310.10000000000002</v>
      </c>
      <c r="E9" s="52">
        <f t="shared" si="3"/>
        <v>4.7989185535654002</v>
      </c>
      <c r="H9" s="714">
        <v>2005</v>
      </c>
      <c r="I9" s="721">
        <v>11.6</v>
      </c>
      <c r="J9" s="721">
        <f t="shared" si="0"/>
        <v>5.454545454545439</v>
      </c>
      <c r="K9" s="721">
        <v>254.1</v>
      </c>
      <c r="L9" s="721">
        <f t="shared" si="1"/>
        <v>9.1494845360824684</v>
      </c>
    </row>
    <row r="10" spans="1:12">
      <c r="A10" s="72">
        <v>2012</v>
      </c>
      <c r="B10" s="52">
        <v>14.6</v>
      </c>
      <c r="C10" s="52">
        <f t="shared" si="2"/>
        <v>2.816901408450704</v>
      </c>
      <c r="D10" s="52">
        <v>318.7</v>
      </c>
      <c r="E10" s="52">
        <f t="shared" si="3"/>
        <v>2.7732989358271425</v>
      </c>
      <c r="H10" s="714">
        <v>2006</v>
      </c>
      <c r="I10" s="721">
        <v>12.2</v>
      </c>
      <c r="J10" s="721">
        <f t="shared" si="0"/>
        <v>5.1724137931034448</v>
      </c>
      <c r="K10" s="721">
        <v>267.8</v>
      </c>
      <c r="L10" s="721">
        <f t="shared" si="1"/>
        <v>5.3915781188508447</v>
      </c>
    </row>
    <row r="11" spans="1:12">
      <c r="A11" s="163">
        <v>2013</v>
      </c>
      <c r="B11" s="201">
        <v>15.1</v>
      </c>
      <c r="C11" s="52">
        <f t="shared" si="2"/>
        <v>3.4246575342465633</v>
      </c>
      <c r="D11" s="201">
        <v>323.89999999999998</v>
      </c>
      <c r="E11" s="52">
        <f t="shared" si="3"/>
        <v>1.6316284907436511</v>
      </c>
      <c r="F11" s="714" t="s">
        <v>508</v>
      </c>
      <c r="G11" s="714"/>
      <c r="H11" s="714">
        <v>2007</v>
      </c>
      <c r="I11" s="721">
        <v>13</v>
      </c>
      <c r="J11" s="721">
        <f t="shared" si="0"/>
        <v>6.5573770491803316</v>
      </c>
      <c r="K11" s="721">
        <v>284</v>
      </c>
      <c r="L11" s="721">
        <f t="shared" si="1"/>
        <v>6.0492905153099343</v>
      </c>
    </row>
    <row r="12" spans="1:12">
      <c r="A12" s="163">
        <v>2014</v>
      </c>
      <c r="B12" s="201">
        <v>15.9</v>
      </c>
      <c r="C12" s="52">
        <f t="shared" si="2"/>
        <v>5.2980132450331183</v>
      </c>
      <c r="D12" s="201">
        <v>333.1</v>
      </c>
      <c r="E12" s="52">
        <f t="shared" si="3"/>
        <v>2.8403828342081141</v>
      </c>
      <c r="H12" s="714">
        <v>2008</v>
      </c>
      <c r="I12" s="721">
        <v>13.5</v>
      </c>
      <c r="J12" s="721">
        <f t="shared" si="0"/>
        <v>3.8461538461538538</v>
      </c>
      <c r="K12" s="721">
        <v>293.8</v>
      </c>
      <c r="L12" s="721">
        <f t="shared" si="1"/>
        <v>3.4507042253521263</v>
      </c>
    </row>
    <row r="13" spans="1:12">
      <c r="A13" s="163">
        <v>2015</v>
      </c>
      <c r="B13" s="201">
        <v>17</v>
      </c>
      <c r="C13" s="52">
        <f t="shared" si="2"/>
        <v>6.9182389937106876</v>
      </c>
      <c r="D13" s="201">
        <v>344.3</v>
      </c>
      <c r="E13" s="52">
        <f t="shared" si="3"/>
        <v>3.3623536475532774</v>
      </c>
    </row>
    <row r="14" spans="1:12">
      <c r="A14" s="163">
        <v>2016</v>
      </c>
      <c r="B14" s="143">
        <v>17.100000000000001</v>
      </c>
      <c r="C14" s="201">
        <f t="shared" si="2"/>
        <v>0.58823529411765207</v>
      </c>
      <c r="D14" s="143">
        <v>357.6</v>
      </c>
      <c r="E14" s="201">
        <f t="shared" si="3"/>
        <v>3.8629102526866177</v>
      </c>
    </row>
    <row r="15" spans="1:12">
      <c r="A15" s="143">
        <v>2017</v>
      </c>
      <c r="B15" s="201">
        <v>18</v>
      </c>
      <c r="C15" s="201">
        <f t="shared" si="2"/>
        <v>5.2631578947368354</v>
      </c>
      <c r="D15" s="201">
        <v>369.4</v>
      </c>
      <c r="E15" s="201">
        <f t="shared" si="3"/>
        <v>3.299776286353449</v>
      </c>
    </row>
    <row r="16" spans="1:12">
      <c r="A16" s="163">
        <v>2018</v>
      </c>
      <c r="B16" s="201">
        <v>19.3</v>
      </c>
      <c r="C16" s="201">
        <f t="shared" si="2"/>
        <v>7.2222222222222143</v>
      </c>
      <c r="D16" s="143">
        <v>385.3</v>
      </c>
      <c r="E16" s="201">
        <f t="shared" si="3"/>
        <v>4.3042772062804602</v>
      </c>
    </row>
    <row r="17" spans="1:5">
      <c r="A17" s="163">
        <v>2019</v>
      </c>
      <c r="B17" s="143">
        <v>18.899999999999999</v>
      </c>
      <c r="C17" s="201">
        <f t="shared" si="2"/>
        <v>-2.0725388601036343</v>
      </c>
      <c r="D17" s="143">
        <v>397.1</v>
      </c>
      <c r="E17" s="201">
        <f t="shared" si="3"/>
        <v>3.0625486633791894</v>
      </c>
    </row>
    <row r="18" spans="1:5">
      <c r="A18" s="163">
        <v>2020</v>
      </c>
      <c r="B18" s="143">
        <v>18.3</v>
      </c>
      <c r="C18" s="201">
        <f t="shared" si="2"/>
        <v>-3.1746031746031633</v>
      </c>
      <c r="D18" s="201">
        <v>381</v>
      </c>
      <c r="E18" s="201">
        <f t="shared" si="3"/>
        <v>-4.0543943591035116</v>
      </c>
    </row>
    <row r="19" spans="1:5">
      <c r="A19" s="338">
        <v>2021</v>
      </c>
      <c r="B19" s="300">
        <v>20.6</v>
      </c>
      <c r="C19" s="502">
        <f t="shared" si="2"/>
        <v>12.568306010928978</v>
      </c>
      <c r="D19" s="300">
        <v>405.2</v>
      </c>
      <c r="E19" s="502">
        <f t="shared" si="3"/>
        <v>6.3517060367453979</v>
      </c>
    </row>
    <row r="20" spans="1:5" ht="17.25">
      <c r="A20" s="541" t="s">
        <v>669</v>
      </c>
      <c r="B20" s="436">
        <v>23.6</v>
      </c>
      <c r="C20" s="691">
        <f t="shared" si="2"/>
        <v>14.5631067961165</v>
      </c>
      <c r="D20" s="436">
        <v>447.2</v>
      </c>
      <c r="E20" s="691">
        <f t="shared" si="3"/>
        <v>10.365251727541946</v>
      </c>
    </row>
    <row r="45" spans="1:2" ht="17.25">
      <c r="A45" s="143" t="s">
        <v>742</v>
      </c>
      <c r="B45" s="350"/>
    </row>
    <row r="46" spans="1:2">
      <c r="A46" s="350" t="s">
        <v>192</v>
      </c>
      <c r="B46" s="350"/>
    </row>
    <row r="52" spans="1:4">
      <c r="A52" s="714" t="s">
        <v>550</v>
      </c>
      <c r="B52" s="714"/>
      <c r="C52" s="714"/>
      <c r="D52" s="714"/>
    </row>
    <row r="53" spans="1:4">
      <c r="C53" s="10"/>
      <c r="D53" s="10"/>
    </row>
    <row r="54" spans="1:4">
      <c r="C54" s="10"/>
      <c r="D54" s="10"/>
    </row>
  </sheetData>
  <customSheetViews>
    <customSheetView guid="{00BB8FC3-0B7F-4485-B1CD-FF164EC3970C}" fitToPage="1">
      <selection activeCell="G6" sqref="G6"/>
      <pageMargins left="0.7" right="0.7" top="0.78740157499999996" bottom="0.78740157499999996" header="0.3" footer="0.3"/>
      <pageSetup scale="79" fitToHeight="0" orientation="portrait" r:id="rId1"/>
    </customSheetView>
    <customSheetView guid="{5DDDE19F-F10F-4514-A83C-F71CDD7BE512}" fitToPage="1">
      <selection activeCell="G6" sqref="G6"/>
      <pageMargins left="0.7" right="0.7" top="0.78740157499999996" bottom="0.78740157499999996" header="0.3" footer="0.3"/>
      <pageSetup scale="79" fitToHeight="0" orientation="portrait" r:id="rId2"/>
    </customSheetView>
    <customSheetView guid="{9A6D0F5E-68D7-4772-8712-9975EE0A4B2C}" fitToPage="1">
      <selection activeCell="G6" sqref="G6"/>
      <pageMargins left="0.7" right="0.7" top="0.78740157499999996" bottom="0.78740157499999996" header="0.3" footer="0.3"/>
      <pageSetup scale="79" fitToHeight="0" orientation="portrait" r:id="rId3"/>
    </customSheetView>
  </customSheetViews>
  <mergeCells count="1">
    <mergeCell ref="A1:F2"/>
  </mergeCells>
  <pageMargins left="0.7" right="0.7" top="0.78740157499999996" bottom="0.78740157499999996" header="0.3" footer="0.3"/>
  <pageSetup scale="52" orientation="portrait" r:id="rId4"/>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T49"/>
  <sheetViews>
    <sheetView zoomScaleNormal="100" workbookViewId="0">
      <selection activeCell="M17" sqref="M17"/>
    </sheetView>
  </sheetViews>
  <sheetFormatPr baseColWidth="10" defaultRowHeight="15"/>
  <cols>
    <col min="1" max="1" width="16.85546875" customWidth="1"/>
  </cols>
  <sheetData>
    <row r="1" spans="1:20" ht="39.75" customHeight="1">
      <c r="A1" s="660" t="s">
        <v>483</v>
      </c>
      <c r="B1" s="660"/>
      <c r="C1" s="660"/>
      <c r="D1" s="660"/>
      <c r="E1" s="660"/>
      <c r="F1" s="671"/>
      <c r="G1" s="671"/>
    </row>
    <row r="2" spans="1:20" ht="15" customHeight="1"/>
    <row r="3" spans="1:20" ht="17.25">
      <c r="A3" s="143"/>
      <c r="B3" s="143">
        <v>2010</v>
      </c>
      <c r="C3" s="143">
        <v>2012</v>
      </c>
      <c r="D3" s="143">
        <v>2014</v>
      </c>
      <c r="E3" s="163">
        <v>2016</v>
      </c>
      <c r="F3" s="163">
        <v>2018</v>
      </c>
      <c r="G3" s="163">
        <v>2020</v>
      </c>
      <c r="H3" s="163">
        <v>2021</v>
      </c>
      <c r="I3" s="163" t="s">
        <v>625</v>
      </c>
      <c r="P3" s="2" t="s">
        <v>0</v>
      </c>
    </row>
    <row r="4" spans="1:20" ht="21">
      <c r="A4" s="172" t="s">
        <v>68</v>
      </c>
      <c r="B4" s="164">
        <v>35400</v>
      </c>
      <c r="C4" s="164">
        <v>37800</v>
      </c>
      <c r="D4" s="164">
        <v>39000</v>
      </c>
      <c r="E4" s="321">
        <v>40900</v>
      </c>
      <c r="F4" s="321">
        <v>43600</v>
      </c>
      <c r="G4" s="321">
        <v>42700</v>
      </c>
      <c r="H4" s="164">
        <v>45300</v>
      </c>
      <c r="I4" s="321">
        <v>49400</v>
      </c>
      <c r="K4" s="160"/>
      <c r="L4" s="732" t="s">
        <v>483</v>
      </c>
      <c r="M4" s="733"/>
      <c r="N4" s="733"/>
      <c r="O4" s="733"/>
      <c r="P4" s="734"/>
      <c r="Q4" s="714"/>
      <c r="R4" s="714"/>
      <c r="S4" s="714"/>
      <c r="T4" s="714"/>
    </row>
    <row r="5" spans="1:20">
      <c r="A5" s="143" t="s">
        <v>187</v>
      </c>
      <c r="B5" s="164">
        <v>41500</v>
      </c>
      <c r="C5" s="164">
        <v>45000</v>
      </c>
      <c r="D5" s="164">
        <v>45700</v>
      </c>
      <c r="E5" s="321">
        <v>48900</v>
      </c>
      <c r="F5" s="321">
        <v>51700</v>
      </c>
      <c r="G5" s="321">
        <v>51100</v>
      </c>
      <c r="H5" s="164">
        <v>52600</v>
      </c>
      <c r="I5" s="321">
        <v>58900</v>
      </c>
      <c r="L5" s="714"/>
      <c r="M5" s="714"/>
      <c r="N5" s="714"/>
      <c r="O5" s="714"/>
      <c r="P5" s="714"/>
      <c r="Q5" s="714"/>
      <c r="R5" s="714"/>
      <c r="S5" s="714"/>
      <c r="T5" s="714"/>
    </row>
    <row r="6" spans="1:20" ht="17.25">
      <c r="A6" s="436" t="s">
        <v>25</v>
      </c>
      <c r="B6" s="464">
        <v>36400</v>
      </c>
      <c r="C6" s="464">
        <v>39200</v>
      </c>
      <c r="D6" s="464">
        <v>42100</v>
      </c>
      <c r="E6" s="699">
        <v>44100</v>
      </c>
      <c r="F6" s="699">
        <v>49100</v>
      </c>
      <c r="G6" s="699">
        <v>46000</v>
      </c>
      <c r="H6" s="464">
        <v>51300</v>
      </c>
      <c r="I6" s="699">
        <v>58300</v>
      </c>
      <c r="L6" s="714"/>
      <c r="M6" s="714">
        <v>2010</v>
      </c>
      <c r="N6" s="714">
        <v>2012</v>
      </c>
      <c r="O6" s="714">
        <v>2014</v>
      </c>
      <c r="P6" s="723">
        <v>2016</v>
      </c>
      <c r="Q6" s="723">
        <v>2018</v>
      </c>
      <c r="R6" s="723">
        <v>2020</v>
      </c>
      <c r="S6" s="723">
        <v>2021</v>
      </c>
      <c r="T6" s="723" t="s">
        <v>743</v>
      </c>
    </row>
    <row r="7" spans="1:20">
      <c r="A7" s="143" t="s">
        <v>199</v>
      </c>
      <c r="B7" s="164">
        <v>46100</v>
      </c>
      <c r="C7" s="164">
        <v>47500</v>
      </c>
      <c r="D7" s="164">
        <v>47600</v>
      </c>
      <c r="E7" s="321">
        <v>49600</v>
      </c>
      <c r="F7" s="321">
        <v>51300</v>
      </c>
      <c r="G7" s="321">
        <v>50200</v>
      </c>
      <c r="H7" s="164">
        <v>53400</v>
      </c>
      <c r="I7" s="321">
        <v>56600</v>
      </c>
      <c r="L7" s="714" t="s">
        <v>191</v>
      </c>
      <c r="M7" s="716">
        <v>23600</v>
      </c>
      <c r="N7" s="716">
        <v>25700</v>
      </c>
      <c r="O7" s="716">
        <v>26900</v>
      </c>
      <c r="P7" s="735">
        <v>28600</v>
      </c>
      <c r="Q7" s="735">
        <v>30600</v>
      </c>
      <c r="R7" s="735">
        <v>30300</v>
      </c>
      <c r="S7" s="716">
        <v>32000</v>
      </c>
      <c r="T7" s="735">
        <v>34900</v>
      </c>
    </row>
    <row r="8" spans="1:20">
      <c r="A8" s="143" t="s">
        <v>299</v>
      </c>
      <c r="B8" s="164">
        <v>36300</v>
      </c>
      <c r="C8" s="164">
        <v>39500</v>
      </c>
      <c r="D8" s="164">
        <v>41200</v>
      </c>
      <c r="E8" s="321">
        <v>43600</v>
      </c>
      <c r="F8" s="321">
        <v>46300</v>
      </c>
      <c r="G8" s="321">
        <v>44500</v>
      </c>
      <c r="H8" s="164">
        <v>45100</v>
      </c>
      <c r="I8" s="321">
        <v>51200</v>
      </c>
      <c r="L8" s="714" t="s">
        <v>189</v>
      </c>
      <c r="M8" s="716">
        <v>28800</v>
      </c>
      <c r="N8" s="716">
        <v>30800</v>
      </c>
      <c r="O8" s="716">
        <v>31900</v>
      </c>
      <c r="P8" s="735">
        <v>33500</v>
      </c>
      <c r="Q8" s="735">
        <v>36100</v>
      </c>
      <c r="R8" s="735">
        <v>35500</v>
      </c>
      <c r="S8" s="716">
        <v>37700</v>
      </c>
      <c r="T8" s="735">
        <v>41900</v>
      </c>
    </row>
    <row r="9" spans="1:20">
      <c r="A9" s="143" t="s">
        <v>188</v>
      </c>
      <c r="B9" s="164">
        <v>35200</v>
      </c>
      <c r="C9" s="164">
        <v>38100</v>
      </c>
      <c r="D9" s="164">
        <v>39900</v>
      </c>
      <c r="E9" s="321">
        <v>41600</v>
      </c>
      <c r="F9" s="321">
        <v>44800</v>
      </c>
      <c r="G9" s="321">
        <v>44000</v>
      </c>
      <c r="H9" s="164">
        <v>47000</v>
      </c>
      <c r="I9" s="321">
        <v>50700</v>
      </c>
      <c r="L9" s="714" t="s">
        <v>186</v>
      </c>
      <c r="M9" s="716">
        <v>29700</v>
      </c>
      <c r="N9" s="716">
        <v>32000</v>
      </c>
      <c r="O9" s="716">
        <v>33100</v>
      </c>
      <c r="P9" s="735">
        <v>34000</v>
      </c>
      <c r="Q9" s="735">
        <v>37200</v>
      </c>
      <c r="R9" s="735">
        <v>37100</v>
      </c>
      <c r="S9" s="716">
        <v>39400</v>
      </c>
      <c r="T9" s="735">
        <v>43600</v>
      </c>
    </row>
    <row r="10" spans="1:20">
      <c r="A10" s="143" t="s">
        <v>190</v>
      </c>
      <c r="B10" s="164">
        <v>31200</v>
      </c>
      <c r="C10" s="164">
        <v>33900</v>
      </c>
      <c r="D10" s="164">
        <v>35100</v>
      </c>
      <c r="E10" s="321">
        <v>36900</v>
      </c>
      <c r="F10" s="321">
        <v>39300</v>
      </c>
      <c r="G10" s="321">
        <v>39200</v>
      </c>
      <c r="H10" s="164">
        <v>41500</v>
      </c>
      <c r="I10" s="321">
        <v>44600</v>
      </c>
      <c r="L10" s="714" t="s">
        <v>190</v>
      </c>
      <c r="M10" s="716">
        <v>31200</v>
      </c>
      <c r="N10" s="716">
        <v>33900</v>
      </c>
      <c r="O10" s="716">
        <v>35100</v>
      </c>
      <c r="P10" s="735">
        <v>36900</v>
      </c>
      <c r="Q10" s="735">
        <v>39300</v>
      </c>
      <c r="R10" s="735">
        <v>39200</v>
      </c>
      <c r="S10" s="716">
        <v>41500</v>
      </c>
      <c r="T10" s="735">
        <v>44600</v>
      </c>
    </row>
    <row r="11" spans="1:20">
      <c r="A11" s="143" t="s">
        <v>186</v>
      </c>
      <c r="B11" s="164">
        <v>29700</v>
      </c>
      <c r="C11" s="164">
        <v>32000</v>
      </c>
      <c r="D11" s="164">
        <v>33100</v>
      </c>
      <c r="E11" s="321">
        <v>34000</v>
      </c>
      <c r="F11" s="321">
        <v>37200</v>
      </c>
      <c r="G11" s="321">
        <v>37100</v>
      </c>
      <c r="H11" s="164">
        <v>39400</v>
      </c>
      <c r="I11" s="321">
        <v>43600</v>
      </c>
      <c r="L11" s="714" t="s">
        <v>188</v>
      </c>
      <c r="M11" s="716">
        <v>35200</v>
      </c>
      <c r="N11" s="716">
        <v>38100</v>
      </c>
      <c r="O11" s="716">
        <v>39900</v>
      </c>
      <c r="P11" s="735">
        <v>41600</v>
      </c>
      <c r="Q11" s="735">
        <v>44800</v>
      </c>
      <c r="R11" s="735">
        <v>44000</v>
      </c>
      <c r="S11" s="716">
        <v>47000</v>
      </c>
      <c r="T11" s="735">
        <v>50700</v>
      </c>
    </row>
    <row r="12" spans="1:20">
      <c r="A12" s="143" t="s">
        <v>189</v>
      </c>
      <c r="B12" s="164">
        <v>28800</v>
      </c>
      <c r="C12" s="164">
        <v>30800</v>
      </c>
      <c r="D12" s="164">
        <v>31900</v>
      </c>
      <c r="E12" s="321">
        <v>33500</v>
      </c>
      <c r="F12" s="321">
        <v>36100</v>
      </c>
      <c r="G12" s="321">
        <v>35500</v>
      </c>
      <c r="H12" s="164">
        <v>37700</v>
      </c>
      <c r="I12" s="321">
        <v>41900</v>
      </c>
      <c r="L12" s="714" t="s">
        <v>299</v>
      </c>
      <c r="M12" s="716">
        <v>36300</v>
      </c>
      <c r="N12" s="716">
        <v>39500</v>
      </c>
      <c r="O12" s="716">
        <v>41200</v>
      </c>
      <c r="P12" s="735">
        <v>43600</v>
      </c>
      <c r="Q12" s="735">
        <v>46300</v>
      </c>
      <c r="R12" s="735">
        <v>44500</v>
      </c>
      <c r="S12" s="716">
        <v>45100</v>
      </c>
      <c r="T12" s="735">
        <v>51200</v>
      </c>
    </row>
    <row r="13" spans="1:20">
      <c r="A13" s="143" t="s">
        <v>191</v>
      </c>
      <c r="B13" s="164">
        <v>23600</v>
      </c>
      <c r="C13" s="164">
        <v>25700</v>
      </c>
      <c r="D13" s="164">
        <v>26900</v>
      </c>
      <c r="E13" s="321">
        <v>28600</v>
      </c>
      <c r="F13" s="321">
        <v>30600</v>
      </c>
      <c r="G13" s="321">
        <v>30300</v>
      </c>
      <c r="H13" s="164">
        <v>32000</v>
      </c>
      <c r="I13" s="321">
        <v>34900</v>
      </c>
      <c r="L13" s="714" t="s">
        <v>199</v>
      </c>
      <c r="M13" s="716">
        <v>46100</v>
      </c>
      <c r="N13" s="716">
        <v>47500</v>
      </c>
      <c r="O13" s="716">
        <v>47600</v>
      </c>
      <c r="P13" s="735">
        <v>49600</v>
      </c>
      <c r="Q13" s="735">
        <v>51300</v>
      </c>
      <c r="R13" s="735">
        <v>50200</v>
      </c>
      <c r="S13" s="716">
        <v>53400</v>
      </c>
      <c r="T13" s="735">
        <v>56600</v>
      </c>
    </row>
    <row r="14" spans="1:20">
      <c r="L14" s="736" t="s">
        <v>25</v>
      </c>
      <c r="M14" s="737">
        <v>36400</v>
      </c>
      <c r="N14" s="737">
        <v>39200</v>
      </c>
      <c r="O14" s="737">
        <v>42100</v>
      </c>
      <c r="P14" s="738">
        <v>44100</v>
      </c>
      <c r="Q14" s="738">
        <v>49100</v>
      </c>
      <c r="R14" s="738">
        <v>46000</v>
      </c>
      <c r="S14" s="737">
        <v>51300</v>
      </c>
      <c r="T14" s="738">
        <v>58300</v>
      </c>
    </row>
    <row r="15" spans="1:20">
      <c r="L15" s="714" t="s">
        <v>187</v>
      </c>
      <c r="M15" s="716">
        <v>41500</v>
      </c>
      <c r="N15" s="716">
        <v>45000</v>
      </c>
      <c r="O15" s="716">
        <v>45700</v>
      </c>
      <c r="P15" s="735">
        <v>48900</v>
      </c>
      <c r="Q15" s="735">
        <v>51700</v>
      </c>
      <c r="R15" s="735">
        <v>51100</v>
      </c>
      <c r="S15" s="716">
        <v>52600</v>
      </c>
      <c r="T15" s="735">
        <v>58900</v>
      </c>
    </row>
    <row r="16" spans="1:20">
      <c r="L16" s="714" t="s">
        <v>68</v>
      </c>
      <c r="M16" s="716">
        <v>35400</v>
      </c>
      <c r="N16" s="716">
        <v>37800</v>
      </c>
      <c r="O16" s="716">
        <v>39000</v>
      </c>
      <c r="P16" s="735">
        <v>40900</v>
      </c>
      <c r="Q16" s="735">
        <v>43600</v>
      </c>
      <c r="R16" s="735">
        <v>42700</v>
      </c>
      <c r="S16" s="716">
        <v>45300</v>
      </c>
      <c r="T16" s="735">
        <v>49400</v>
      </c>
    </row>
    <row r="34" spans="1:2">
      <c r="A34" s="75" t="s">
        <v>534</v>
      </c>
      <c r="B34" s="75"/>
    </row>
    <row r="35" spans="1:2">
      <c r="A35" s="75" t="s">
        <v>192</v>
      </c>
      <c r="B35" s="75"/>
    </row>
    <row r="38" spans="1:2">
      <c r="A38" s="130" t="s">
        <v>0</v>
      </c>
      <c r="B38" s="130"/>
    </row>
    <row r="49" spans="10:13">
      <c r="J49" s="714" t="s">
        <v>499</v>
      </c>
      <c r="K49" s="714"/>
      <c r="L49" s="714"/>
      <c r="M49" s="714"/>
    </row>
  </sheetData>
  <customSheetViews>
    <customSheetView guid="{00BB8FC3-0B7F-4485-B1CD-FF164EC3970C}" fitToPage="1" topLeftCell="A4">
      <selection activeCell="R28" sqref="R28"/>
      <pageMargins left="0.7" right="0.7" top="0.78740157499999996" bottom="0.78740157499999996" header="0.3" footer="0.3"/>
      <pageSetup scale="63" orientation="landscape" r:id="rId1"/>
    </customSheetView>
    <customSheetView guid="{5DDDE19F-F10F-4514-A83C-F71CDD7BE512}" showPageBreaks="1" fitToPage="1" topLeftCell="A4">
      <selection activeCell="R28" sqref="R28"/>
      <pageMargins left="0.7" right="0.7" top="0.78740157499999996" bottom="0.78740157499999996" header="0.3" footer="0.3"/>
      <pageSetup scale="63" orientation="landscape" r:id="rId2"/>
    </customSheetView>
    <customSheetView guid="{9A6D0F5E-68D7-4772-8712-9975EE0A4B2C}" fitToPage="1" topLeftCell="A4">
      <selection activeCell="R28" sqref="R28"/>
      <pageMargins left="0.7" right="0.7" top="0.78740157499999996" bottom="0.78740157499999996" header="0.3" footer="0.3"/>
      <pageSetup scale="63" orientation="landscape" r:id="rId3"/>
    </customSheetView>
  </customSheetViews>
  <pageMargins left="0.7" right="0.7" top="0.78740157499999996" bottom="0.78740157499999996" header="0.3" footer="0.3"/>
  <pageSetup paperSize="9" scale="56" orientation="landscape" r:id="rId4"/>
  <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O49"/>
  <sheetViews>
    <sheetView topLeftCell="A20" workbookViewId="0">
      <selection activeCell="L45" sqref="L45"/>
    </sheetView>
  </sheetViews>
  <sheetFormatPr baseColWidth="10" defaultRowHeight="15"/>
  <sheetData>
    <row r="1" spans="1:15" ht="39.75" customHeight="1">
      <c r="A1" s="660" t="s">
        <v>349</v>
      </c>
      <c r="B1" s="660"/>
      <c r="C1" s="10"/>
      <c r="D1" s="10"/>
      <c r="E1" s="10"/>
      <c r="F1" s="10"/>
    </row>
    <row r="2" spans="1:15">
      <c r="G2" s="10"/>
      <c r="H2" s="10"/>
    </row>
    <row r="3" spans="1:15">
      <c r="A3" s="160"/>
      <c r="B3" s="160"/>
      <c r="C3" s="160"/>
      <c r="D3" s="160"/>
      <c r="E3" s="160"/>
      <c r="F3" s="160"/>
      <c r="G3" s="160"/>
      <c r="H3" s="160"/>
    </row>
    <row r="4" spans="1:15">
      <c r="C4" t="s">
        <v>25</v>
      </c>
      <c r="D4" t="s">
        <v>68</v>
      </c>
    </row>
    <row r="5" spans="1:15">
      <c r="A5" s="143">
        <v>2010</v>
      </c>
      <c r="B5" s="143"/>
      <c r="C5" s="439">
        <v>2.5999999999999999E-2</v>
      </c>
      <c r="D5" s="439">
        <v>0.02</v>
      </c>
      <c r="I5" s="714">
        <v>2002</v>
      </c>
      <c r="J5" s="714"/>
      <c r="K5" s="724">
        <v>2.7E-2</v>
      </c>
      <c r="L5" s="724">
        <v>1.7999999999999999E-2</v>
      </c>
      <c r="M5" s="714"/>
      <c r="N5" s="714"/>
      <c r="O5" s="714"/>
    </row>
    <row r="6" spans="1:15">
      <c r="A6" s="143">
        <v>2011</v>
      </c>
      <c r="B6" s="143"/>
      <c r="C6" s="439">
        <v>3.2000000000000001E-2</v>
      </c>
      <c r="D6" s="439">
        <v>0.03</v>
      </c>
      <c r="I6" s="714">
        <v>2003</v>
      </c>
      <c r="J6" s="714"/>
      <c r="K6" s="724">
        <v>3.0000000000000001E-3</v>
      </c>
      <c r="L6" s="724">
        <v>1.0999999999999999E-2</v>
      </c>
      <c r="M6" s="714"/>
      <c r="N6" s="714"/>
      <c r="O6" s="714"/>
    </row>
    <row r="7" spans="1:15">
      <c r="A7" s="143">
        <v>2012</v>
      </c>
      <c r="B7" s="143"/>
      <c r="C7" s="439">
        <v>3.0000000000000001E-3</v>
      </c>
      <c r="D7" s="439">
        <v>7.0000000000000001E-3</v>
      </c>
      <c r="I7" s="714">
        <v>2004</v>
      </c>
      <c r="J7" s="714"/>
      <c r="K7" s="724">
        <v>3.6999999999999998E-2</v>
      </c>
      <c r="L7" s="724">
        <v>2.5000000000000001E-2</v>
      </c>
      <c r="M7" s="714"/>
      <c r="N7" s="714"/>
      <c r="O7" s="714"/>
    </row>
    <row r="8" spans="1:15">
      <c r="A8" s="163">
        <v>2013</v>
      </c>
      <c r="B8" s="143"/>
      <c r="C8" s="439">
        <v>1.7999999999999999E-2</v>
      </c>
      <c r="D8" s="439">
        <v>2E-3</v>
      </c>
      <c r="I8" s="714">
        <v>2005</v>
      </c>
      <c r="J8" s="714"/>
      <c r="K8" s="724">
        <v>2.1000000000000001E-2</v>
      </c>
      <c r="L8" s="724">
        <v>2.7E-2</v>
      </c>
      <c r="M8" s="714"/>
      <c r="N8" s="714"/>
      <c r="O8" s="714"/>
    </row>
    <row r="9" spans="1:15">
      <c r="A9" s="163">
        <v>2014</v>
      </c>
      <c r="B9" s="143"/>
      <c r="C9" s="439">
        <v>2.9000000000000001E-2</v>
      </c>
      <c r="D9" s="439">
        <v>7.0000000000000001E-3</v>
      </c>
      <c r="I9" s="714">
        <v>2006</v>
      </c>
      <c r="J9" s="714"/>
      <c r="K9" s="724">
        <v>3.7999999999999999E-2</v>
      </c>
      <c r="L9" s="724">
        <v>0.04</v>
      </c>
      <c r="M9" s="714"/>
      <c r="N9" s="714"/>
      <c r="O9" s="714"/>
    </row>
    <row r="10" spans="1:15">
      <c r="A10" s="163">
        <v>2015</v>
      </c>
      <c r="B10" s="143"/>
      <c r="C10" s="439">
        <v>2.3E-2</v>
      </c>
      <c r="D10" s="439">
        <v>8.0000000000000002E-3</v>
      </c>
      <c r="I10" s="714">
        <v>2007</v>
      </c>
      <c r="J10" s="714"/>
      <c r="K10" s="724">
        <v>5.1999999999999998E-2</v>
      </c>
      <c r="L10" s="724">
        <v>3.7999999999999999E-2</v>
      </c>
      <c r="M10" s="714" t="s">
        <v>508</v>
      </c>
      <c r="N10" s="714"/>
      <c r="O10" s="714"/>
    </row>
    <row r="11" spans="1:15">
      <c r="A11" s="163">
        <v>2016</v>
      </c>
      <c r="B11" s="143"/>
      <c r="C11" s="439">
        <v>8.0000000000000002E-3</v>
      </c>
      <c r="D11" s="439">
        <v>1.9E-2</v>
      </c>
      <c r="I11" s="714">
        <v>2008</v>
      </c>
      <c r="J11" s="714"/>
      <c r="K11" s="724">
        <v>2.4E-2</v>
      </c>
      <c r="L11" s="724">
        <v>1.6E-2</v>
      </c>
      <c r="M11" s="714"/>
      <c r="N11" s="714"/>
      <c r="O11" s="714"/>
    </row>
    <row r="12" spans="1:15">
      <c r="A12" s="163">
        <v>2017</v>
      </c>
      <c r="B12" s="143"/>
      <c r="C12" s="439">
        <v>0.03</v>
      </c>
      <c r="D12" s="439">
        <v>2.3E-2</v>
      </c>
      <c r="I12" s="714">
        <v>2009</v>
      </c>
      <c r="J12" s="714"/>
      <c r="K12" s="724">
        <v>-4.5999999999999999E-2</v>
      </c>
      <c r="L12" s="724">
        <v>-4.2999999999999997E-2</v>
      </c>
      <c r="M12" s="714"/>
      <c r="N12" s="714"/>
      <c r="O12" s="714"/>
    </row>
    <row r="13" spans="1:15">
      <c r="A13" s="163">
        <v>2018</v>
      </c>
      <c r="B13" s="143"/>
      <c r="C13" s="439">
        <v>1.2999999999999999E-2</v>
      </c>
      <c r="D13" s="439">
        <v>2.5999999999999999E-2</v>
      </c>
    </row>
    <row r="14" spans="1:15">
      <c r="A14" s="163">
        <v>2019</v>
      </c>
      <c r="B14" s="143"/>
      <c r="C14" s="439">
        <v>1.7999999999999999E-2</v>
      </c>
      <c r="D14" s="439">
        <v>1.4999999999999999E-2</v>
      </c>
    </row>
    <row r="15" spans="1:15">
      <c r="A15" s="163">
        <v>2020</v>
      </c>
      <c r="B15" s="143"/>
      <c r="C15" s="439">
        <v>-5.7000000000000002E-2</v>
      </c>
      <c r="D15" s="439">
        <v>-6.5000000000000002E-2</v>
      </c>
    </row>
    <row r="16" spans="1:15">
      <c r="A16" s="338">
        <v>2021</v>
      </c>
      <c r="B16" s="300"/>
      <c r="C16" s="498">
        <v>3.7999999999999999E-2</v>
      </c>
      <c r="D16" s="498">
        <v>0.04</v>
      </c>
    </row>
    <row r="17" spans="1:4" ht="17.45" customHeight="1">
      <c r="A17" s="684">
        <v>2022</v>
      </c>
      <c r="B17" s="130"/>
      <c r="C17" s="498">
        <v>4.4000000000000004E-2</v>
      </c>
      <c r="D17" s="498">
        <v>4.9000000000000002E-2</v>
      </c>
    </row>
    <row r="18" spans="1:4" ht="17.25">
      <c r="A18" s="697" t="s">
        <v>712</v>
      </c>
      <c r="B18" s="460"/>
      <c r="C18" s="698">
        <v>-1.0999999999999999E-2</v>
      </c>
      <c r="D18" s="698">
        <v>-6.0000000000000001E-3</v>
      </c>
    </row>
    <row r="35" spans="1:8">
      <c r="H35" s="10"/>
    </row>
    <row r="36" spans="1:8">
      <c r="H36" s="308"/>
    </row>
    <row r="37" spans="1:8">
      <c r="H37" s="10"/>
    </row>
    <row r="42" spans="1:8">
      <c r="A42" s="75" t="s">
        <v>656</v>
      </c>
      <c r="B42" s="75"/>
      <c r="C42" s="10"/>
      <c r="D42" s="10"/>
      <c r="E42" s="10"/>
      <c r="F42" s="10"/>
      <c r="G42" s="10"/>
    </row>
    <row r="43" spans="1:8">
      <c r="A43" s="486" t="s">
        <v>542</v>
      </c>
      <c r="B43" s="486"/>
      <c r="C43" s="300"/>
      <c r="D43" s="300"/>
      <c r="E43" s="300"/>
      <c r="F43" s="300"/>
      <c r="G43" s="300"/>
    </row>
    <row r="49" spans="1:7">
      <c r="A49" s="10"/>
      <c r="B49" s="10"/>
      <c r="C49" s="10"/>
      <c r="D49" s="10"/>
      <c r="E49" s="10"/>
      <c r="F49" s="10"/>
      <c r="G49" s="10"/>
    </row>
  </sheetData>
  <customSheetViews>
    <customSheetView guid="{00BB8FC3-0B7F-4485-B1CD-FF164EC3970C}" fitToPage="1" topLeftCell="A10">
      <selection activeCell="D21" sqref="D21"/>
      <pageMargins left="0.7" right="0.7" top="0.78740157499999996" bottom="0.78740157499999996" header="0.3" footer="0.3"/>
      <pageSetup scale="66" orientation="portrait" r:id="rId1"/>
    </customSheetView>
    <customSheetView guid="{5DDDE19F-F10F-4514-A83C-F71CDD7BE512}" showPageBreaks="1" fitToPage="1" topLeftCell="A10">
      <selection activeCell="D21" sqref="D21"/>
      <pageMargins left="0.7" right="0.7" top="0.78740157499999996" bottom="0.78740157499999996" header="0.3" footer="0.3"/>
      <pageSetup scale="66" orientation="portrait" r:id="rId2"/>
    </customSheetView>
    <customSheetView guid="{9A6D0F5E-68D7-4772-8712-9975EE0A4B2C}" fitToPage="1" topLeftCell="A10">
      <selection activeCell="D21" sqref="D21"/>
      <pageMargins left="0.7" right="0.7" top="0.78740157499999996" bottom="0.78740157499999996" header="0.3" footer="0.3"/>
      <pageSetup scale="66" orientation="portrait" r:id="rId3"/>
    </customSheetView>
  </customSheetViews>
  <pageMargins left="0.7" right="0.7" top="0.78740157499999996" bottom="0.78740157499999996" header="0.3" footer="0.3"/>
  <pageSetup scale="52" orientation="portrait" r:id="rId4"/>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R51"/>
  <sheetViews>
    <sheetView topLeftCell="A14" workbookViewId="0">
      <selection activeCell="M17" sqref="M17"/>
    </sheetView>
  </sheetViews>
  <sheetFormatPr baseColWidth="10" defaultRowHeight="15"/>
  <cols>
    <col min="1" max="1" width="5.42578125" customWidth="1"/>
    <col min="6" max="6" width="30" customWidth="1"/>
  </cols>
  <sheetData>
    <row r="1" spans="1:18" ht="39.75" customHeight="1">
      <c r="A1" s="796" t="s">
        <v>413</v>
      </c>
      <c r="B1" s="796"/>
      <c r="C1" s="796"/>
      <c r="D1" s="796"/>
      <c r="E1" s="796"/>
      <c r="F1" s="796"/>
    </row>
    <row r="2" spans="1:18" ht="15" customHeight="1">
      <c r="A2" s="796"/>
      <c r="B2" s="796"/>
      <c r="C2" s="796"/>
      <c r="D2" s="796"/>
      <c r="E2" s="796"/>
      <c r="F2" s="796"/>
    </row>
    <row r="3" spans="1:18" s="160" customFormat="1">
      <c r="A3" s="143" t="s">
        <v>455</v>
      </c>
      <c r="B3" s="10"/>
      <c r="C3" s="10"/>
      <c r="D3" s="10"/>
      <c r="E3" s="10"/>
      <c r="F3" s="10"/>
    </row>
    <row r="4" spans="1:18">
      <c r="H4" s="648"/>
    </row>
    <row r="5" spans="1:18">
      <c r="A5" s="649" t="s">
        <v>657</v>
      </c>
      <c r="B5" s="142" t="s">
        <v>25</v>
      </c>
      <c r="C5" s="142" t="s">
        <v>348</v>
      </c>
      <c r="D5" s="142" t="s">
        <v>68</v>
      </c>
      <c r="E5" s="142" t="s">
        <v>348</v>
      </c>
      <c r="F5" t="s">
        <v>0</v>
      </c>
    </row>
    <row r="6" spans="1:18">
      <c r="A6">
        <v>2009</v>
      </c>
      <c r="B6" s="6">
        <v>11682</v>
      </c>
      <c r="C6" s="165">
        <f>B6*100/O12-100</f>
        <v>-2.8281483946098831</v>
      </c>
      <c r="D6" s="6">
        <v>256671</v>
      </c>
      <c r="E6" s="165">
        <f>D6*100/Q12-100</f>
        <v>-2.1888992626183779</v>
      </c>
      <c r="N6" s="714">
        <v>2002</v>
      </c>
      <c r="O6" s="735">
        <v>9214</v>
      </c>
      <c r="P6" s="769">
        <f>O6*100/8881-100</f>
        <v>3.7495777502533514</v>
      </c>
      <c r="Q6" s="735">
        <v>201882</v>
      </c>
      <c r="R6" s="769">
        <f>Q6*100/196610-100</f>
        <v>2.6814505874574053</v>
      </c>
    </row>
    <row r="7" spans="1:18">
      <c r="A7">
        <v>2010</v>
      </c>
      <c r="B7" s="6">
        <v>11978</v>
      </c>
      <c r="C7" s="165">
        <f t="shared" ref="C7:C19" si="0">B7*100/B6-100</f>
        <v>2.5338127033042355</v>
      </c>
      <c r="D7" s="6">
        <v>263633</v>
      </c>
      <c r="E7" s="165">
        <f t="shared" ref="E7:E19" si="1">D7*100/D6-100</f>
        <v>2.7124217383342852</v>
      </c>
      <c r="N7" s="714">
        <v>2003</v>
      </c>
      <c r="O7" s="735">
        <v>9308</v>
      </c>
      <c r="P7" s="769">
        <f t="shared" ref="P7:P12" si="2">O7*100/O6-100</f>
        <v>1.0201866724549546</v>
      </c>
      <c r="Q7" s="735">
        <v>206344</v>
      </c>
      <c r="R7" s="769">
        <f t="shared" ref="R7:R12" si="3">Q7*100/Q6-100</f>
        <v>2.210201999187646</v>
      </c>
    </row>
    <row r="8" spans="1:18">
      <c r="A8">
        <v>2011</v>
      </c>
      <c r="B8" s="6">
        <v>12693</v>
      </c>
      <c r="C8" s="165">
        <f t="shared" si="0"/>
        <v>5.9692770078477224</v>
      </c>
      <c r="D8" s="6">
        <v>276404</v>
      </c>
      <c r="E8" s="165">
        <f t="shared" si="1"/>
        <v>4.8442342195400414</v>
      </c>
      <c r="N8" s="714">
        <v>2004</v>
      </c>
      <c r="O8" s="735">
        <v>9761</v>
      </c>
      <c r="P8" s="769">
        <f t="shared" si="2"/>
        <v>4.8667812634293028</v>
      </c>
      <c r="Q8" s="735">
        <v>215211</v>
      </c>
      <c r="R8" s="769">
        <f t="shared" si="3"/>
        <v>4.2971930368704676</v>
      </c>
    </row>
    <row r="9" spans="1:18">
      <c r="A9" s="72">
        <v>2012</v>
      </c>
      <c r="B9" s="6">
        <v>12977</v>
      </c>
      <c r="C9" s="165">
        <f t="shared" si="0"/>
        <v>2.2374537146458664</v>
      </c>
      <c r="D9" s="6">
        <v>283549</v>
      </c>
      <c r="E9" s="165">
        <f t="shared" si="1"/>
        <v>2.5849842983459013</v>
      </c>
      <c r="F9" s="714" t="s">
        <v>508</v>
      </c>
      <c r="G9" s="714"/>
      <c r="N9" s="714">
        <v>2005</v>
      </c>
      <c r="O9" s="735">
        <v>10323</v>
      </c>
      <c r="P9" s="769">
        <f t="shared" si="2"/>
        <v>5.7576068025817051</v>
      </c>
      <c r="Q9" s="735">
        <v>225888</v>
      </c>
      <c r="R9" s="769">
        <f t="shared" si="3"/>
        <v>4.9611776349721879</v>
      </c>
    </row>
    <row r="10" spans="1:18">
      <c r="A10" s="163">
        <v>2013</v>
      </c>
      <c r="B10" s="164">
        <v>13470</v>
      </c>
      <c r="C10" s="166">
        <f t="shared" si="0"/>
        <v>3.7990290513986338</v>
      </c>
      <c r="D10" s="164">
        <v>288624</v>
      </c>
      <c r="E10" s="166">
        <f t="shared" si="1"/>
        <v>1.7898141062038633</v>
      </c>
      <c r="N10" s="714">
        <v>2006</v>
      </c>
      <c r="O10" s="735">
        <v>10907</v>
      </c>
      <c r="P10" s="769">
        <f t="shared" si="2"/>
        <v>5.6572701733992119</v>
      </c>
      <c r="Q10" s="735">
        <v>239076</v>
      </c>
      <c r="R10" s="769">
        <f t="shared" si="3"/>
        <v>5.8382915427114312</v>
      </c>
    </row>
    <row r="11" spans="1:18">
      <c r="A11" s="163">
        <v>2014</v>
      </c>
      <c r="B11" s="164">
        <v>14151</v>
      </c>
      <c r="C11" s="166">
        <f t="shared" si="0"/>
        <v>5.0556792873051251</v>
      </c>
      <c r="D11" s="164">
        <v>297230</v>
      </c>
      <c r="E11" s="166">
        <f t="shared" si="1"/>
        <v>2.9817340207328584</v>
      </c>
      <c r="N11" s="714">
        <v>2007</v>
      </c>
      <c r="O11" s="735">
        <v>11623</v>
      </c>
      <c r="P11" s="769">
        <f t="shared" si="2"/>
        <v>6.5645915467131175</v>
      </c>
      <c r="Q11" s="735">
        <v>253604</v>
      </c>
      <c r="R11" s="769">
        <f t="shared" si="3"/>
        <v>6.076728738978403</v>
      </c>
    </row>
    <row r="12" spans="1:18">
      <c r="A12" s="72">
        <v>2015</v>
      </c>
      <c r="B12" s="6">
        <v>15198</v>
      </c>
      <c r="C12" s="166">
        <f t="shared" si="0"/>
        <v>7.3987704049183804</v>
      </c>
      <c r="D12" s="6">
        <v>307038</v>
      </c>
      <c r="E12" s="166">
        <f t="shared" si="1"/>
        <v>3.2998015005214825</v>
      </c>
      <c r="F12" s="3" t="s">
        <v>347</v>
      </c>
      <c r="G12" s="3"/>
      <c r="H12" s="3" t="s">
        <v>0</v>
      </c>
      <c r="N12" s="714">
        <v>2008</v>
      </c>
      <c r="O12" s="716">
        <v>12022</v>
      </c>
      <c r="P12" s="769">
        <f t="shared" si="2"/>
        <v>3.4328486621354273</v>
      </c>
      <c r="Q12" s="716">
        <v>262415</v>
      </c>
      <c r="R12" s="769">
        <f t="shared" si="3"/>
        <v>3.4743142852636453</v>
      </c>
    </row>
    <row r="13" spans="1:18">
      <c r="A13" s="72">
        <v>2016</v>
      </c>
      <c r="B13" s="6">
        <v>15216</v>
      </c>
      <c r="C13" s="166">
        <f t="shared" si="0"/>
        <v>0.1184366363995224</v>
      </c>
      <c r="D13" s="6">
        <v>318953</v>
      </c>
      <c r="E13" s="166">
        <f t="shared" si="1"/>
        <v>3.880627153642223</v>
      </c>
      <c r="F13" s="3" t="s">
        <v>0</v>
      </c>
      <c r="G13" s="3"/>
    </row>
    <row r="14" spans="1:18">
      <c r="A14" s="163">
        <v>2017</v>
      </c>
      <c r="B14" s="164">
        <v>16022</v>
      </c>
      <c r="C14" s="166">
        <f t="shared" si="0"/>
        <v>5.2970557308096744</v>
      </c>
      <c r="D14" s="164">
        <v>329417</v>
      </c>
      <c r="E14" s="166">
        <f t="shared" si="1"/>
        <v>3.2807341520537534</v>
      </c>
      <c r="F14" s="3" t="s">
        <v>0</v>
      </c>
      <c r="G14" s="3"/>
    </row>
    <row r="15" spans="1:18">
      <c r="A15" s="163">
        <v>2018</v>
      </c>
      <c r="B15" s="164">
        <v>17252</v>
      </c>
      <c r="C15" s="166">
        <f t="shared" si="0"/>
        <v>7.6769442017226339</v>
      </c>
      <c r="D15" s="164">
        <v>344267</v>
      </c>
      <c r="E15" s="166">
        <f t="shared" si="1"/>
        <v>4.5079640698567403</v>
      </c>
      <c r="F15" s="3" t="s">
        <v>0</v>
      </c>
      <c r="G15" s="3"/>
    </row>
    <row r="16" spans="1:18">
      <c r="A16" s="163">
        <v>2019</v>
      </c>
      <c r="B16" s="164">
        <v>16890</v>
      </c>
      <c r="C16" s="166">
        <f t="shared" si="0"/>
        <v>-2.0983074426153507</v>
      </c>
      <c r="D16" s="164">
        <v>354913</v>
      </c>
      <c r="E16" s="166">
        <f t="shared" si="1"/>
        <v>3.0923672614569568</v>
      </c>
      <c r="F16" s="3"/>
      <c r="G16" s="3"/>
    </row>
    <row r="17" spans="1:9">
      <c r="A17" s="163">
        <v>2020</v>
      </c>
      <c r="B17" s="164">
        <v>16436</v>
      </c>
      <c r="C17" s="166">
        <f t="shared" si="0"/>
        <v>-2.6879810538780333</v>
      </c>
      <c r="D17" s="164">
        <v>341842</v>
      </c>
      <c r="E17" s="166">
        <f t="shared" si="1"/>
        <v>-3.6828743945699358</v>
      </c>
      <c r="F17" s="3"/>
      <c r="G17" s="3"/>
    </row>
    <row r="18" spans="1:9" s="160" customFormat="1">
      <c r="A18" s="338">
        <v>2021</v>
      </c>
      <c r="B18" s="245">
        <v>18391</v>
      </c>
      <c r="C18" s="687">
        <f t="shared" si="0"/>
        <v>11.89462156242395</v>
      </c>
      <c r="D18" s="245">
        <v>362447</v>
      </c>
      <c r="E18" s="687">
        <f t="shared" si="1"/>
        <v>6.0276384996577406</v>
      </c>
      <c r="F18" s="3"/>
      <c r="G18" s="3"/>
    </row>
    <row r="19" spans="1:9" ht="17.25">
      <c r="A19" s="541" t="s">
        <v>669</v>
      </c>
      <c r="B19" s="464">
        <v>21143</v>
      </c>
      <c r="C19" s="542">
        <f t="shared" si="0"/>
        <v>14.963841009189281</v>
      </c>
      <c r="D19" s="464">
        <v>400850</v>
      </c>
      <c r="E19" s="542">
        <f t="shared" si="1"/>
        <v>10.595480166755422</v>
      </c>
      <c r="F19" s="3"/>
      <c r="G19" s="3"/>
    </row>
    <row r="23" spans="1:9" ht="17.25">
      <c r="A23" s="94" t="s">
        <v>670</v>
      </c>
    </row>
    <row r="24" spans="1:9">
      <c r="A24" s="33"/>
    </row>
    <row r="25" spans="1:9">
      <c r="E25" s="577" t="s">
        <v>25</v>
      </c>
      <c r="F25" s="577" t="s">
        <v>346</v>
      </c>
      <c r="G25" s="577" t="s">
        <v>68</v>
      </c>
      <c r="H25" s="5" t="s">
        <v>345</v>
      </c>
      <c r="I25" s="5"/>
    </row>
    <row r="26" spans="1:9" s="160" customFormat="1">
      <c r="A26" s="172" t="s">
        <v>344</v>
      </c>
      <c r="B26" s="143"/>
      <c r="C26" s="143"/>
      <c r="D26" s="143"/>
      <c r="E26" s="237">
        <v>111</v>
      </c>
      <c r="F26" s="516">
        <f>E26/17128</f>
        <v>6.4806165343297521E-3</v>
      </c>
      <c r="G26" s="237">
        <v>6198</v>
      </c>
      <c r="H26" s="516">
        <f>E26/G26</f>
        <v>1.7909002904162634E-2</v>
      </c>
      <c r="I26"/>
    </row>
    <row r="27" spans="1:9" s="160" customFormat="1">
      <c r="A27" s="172"/>
      <c r="B27" s="143"/>
      <c r="C27" s="143"/>
      <c r="D27" s="143"/>
      <c r="E27" s="164"/>
      <c r="F27" s="439"/>
      <c r="G27" s="164"/>
      <c r="H27" s="439"/>
      <c r="I27"/>
    </row>
    <row r="28" spans="1:9">
      <c r="A28" s="172" t="s">
        <v>343</v>
      </c>
      <c r="B28" s="143"/>
      <c r="C28" s="143"/>
      <c r="D28" s="143"/>
      <c r="E28" s="237">
        <v>7680</v>
      </c>
      <c r="F28" s="516">
        <f>E28/17128</f>
        <v>0.4483886034563288</v>
      </c>
      <c r="G28" s="237">
        <v>116755</v>
      </c>
      <c r="H28" s="516">
        <f>E28/G28</f>
        <v>6.5778767504603652E-2</v>
      </c>
    </row>
    <row r="29" spans="1:9">
      <c r="A29" s="143" t="s">
        <v>210</v>
      </c>
      <c r="B29" s="143"/>
      <c r="C29" s="143"/>
      <c r="D29" s="143"/>
      <c r="E29" s="164" t="s">
        <v>0</v>
      </c>
      <c r="F29" s="439"/>
      <c r="G29" s="164" t="s">
        <v>0</v>
      </c>
      <c r="H29" s="439" t="s">
        <v>0</v>
      </c>
    </row>
    <row r="30" spans="1:9">
      <c r="A30" s="143" t="s">
        <v>342</v>
      </c>
      <c r="B30" s="143"/>
      <c r="C30" s="143"/>
      <c r="D30" s="143"/>
      <c r="E30" s="164">
        <v>5057</v>
      </c>
      <c r="F30" s="439">
        <f>E30/17128</f>
        <v>0.29524754787482482</v>
      </c>
      <c r="G30" s="164">
        <v>71146</v>
      </c>
      <c r="H30" s="439">
        <f>E30/G30</f>
        <v>7.1079189272763049E-2</v>
      </c>
    </row>
    <row r="31" spans="1:9">
      <c r="A31" s="143" t="s">
        <v>183</v>
      </c>
      <c r="B31" s="143"/>
      <c r="C31" s="143"/>
      <c r="D31" s="143"/>
      <c r="E31" s="164">
        <v>1560</v>
      </c>
      <c r="F31" s="439">
        <f t="shared" ref="F31:F41" si="4">E31/17128</f>
        <v>9.1078935077066797E-2</v>
      </c>
      <c r="G31" s="164">
        <v>29129</v>
      </c>
      <c r="H31" s="439">
        <f>E31/G31</f>
        <v>5.3554876583473514E-2</v>
      </c>
    </row>
    <row r="32" spans="1:9">
      <c r="A32" s="143" t="s">
        <v>341</v>
      </c>
      <c r="B32" s="143"/>
      <c r="C32" s="143"/>
      <c r="D32" s="143"/>
      <c r="E32" s="164">
        <v>1040</v>
      </c>
      <c r="F32" s="439">
        <f t="shared" si="4"/>
        <v>6.0719290051377862E-2</v>
      </c>
      <c r="G32" s="164">
        <v>14904</v>
      </c>
      <c r="H32" s="439">
        <f>E32/G32</f>
        <v>6.9779924852388625E-2</v>
      </c>
    </row>
    <row r="33" spans="1:8">
      <c r="A33" s="143"/>
      <c r="B33" s="143"/>
      <c r="C33" s="143"/>
      <c r="D33" s="143"/>
      <c r="E33" s="164"/>
      <c r="F33" s="439" t="s">
        <v>0</v>
      </c>
      <c r="G33" s="164"/>
      <c r="H33" s="439"/>
    </row>
    <row r="34" spans="1:8">
      <c r="A34" s="172" t="s">
        <v>340</v>
      </c>
      <c r="B34" s="143"/>
      <c r="C34" s="143"/>
      <c r="D34" s="143"/>
      <c r="E34" s="237">
        <v>13352</v>
      </c>
      <c r="F34" s="516">
        <f t="shared" si="4"/>
        <v>0.77954226996730502</v>
      </c>
      <c r="G34" s="237">
        <v>277898</v>
      </c>
      <c r="H34" s="516">
        <f>E34/G34</f>
        <v>4.8046405515692808E-2</v>
      </c>
    </row>
    <row r="35" spans="1:8">
      <c r="A35" s="143" t="s">
        <v>210</v>
      </c>
      <c r="B35" s="143"/>
      <c r="C35" s="143"/>
      <c r="D35" s="143"/>
      <c r="E35" s="164"/>
      <c r="F35" s="439" t="s">
        <v>0</v>
      </c>
      <c r="G35" s="164"/>
      <c r="H35" s="439" t="s">
        <v>0</v>
      </c>
    </row>
    <row r="36" spans="1:8">
      <c r="A36" s="143" t="s">
        <v>339</v>
      </c>
      <c r="B36" s="143"/>
      <c r="C36" s="143"/>
      <c r="D36" s="143"/>
      <c r="E36" s="164">
        <v>4413</v>
      </c>
      <c r="F36" s="439">
        <f t="shared" si="4"/>
        <v>0.25764829518916393</v>
      </c>
      <c r="G36" s="164">
        <v>51587</v>
      </c>
      <c r="H36" s="439">
        <f t="shared" ref="H36:H41" si="5">E36/G36</f>
        <v>8.5544807800414832E-2</v>
      </c>
    </row>
    <row r="37" spans="1:8">
      <c r="A37" s="143" t="s">
        <v>338</v>
      </c>
      <c r="B37" s="143"/>
      <c r="C37" s="143"/>
      <c r="D37" s="143"/>
      <c r="E37" s="164">
        <v>960</v>
      </c>
      <c r="F37" s="439">
        <f t="shared" si="4"/>
        <v>5.6048575432041101E-2</v>
      </c>
      <c r="G37" s="164">
        <v>20496</v>
      </c>
      <c r="H37" s="439">
        <f t="shared" si="5"/>
        <v>4.6838407494145202E-2</v>
      </c>
    </row>
    <row r="38" spans="1:8">
      <c r="A38" s="143" t="s">
        <v>337</v>
      </c>
      <c r="B38" s="143"/>
      <c r="C38" s="143"/>
      <c r="D38" s="143"/>
      <c r="E38" s="164">
        <v>1033</v>
      </c>
      <c r="F38" s="439">
        <f t="shared" si="4"/>
        <v>6.0310602522185897E-2</v>
      </c>
      <c r="G38" s="164">
        <v>17895</v>
      </c>
      <c r="H38" s="439">
        <f t="shared" si="5"/>
        <v>5.7725621682034087E-2</v>
      </c>
    </row>
    <row r="39" spans="1:8">
      <c r="A39" s="143" t="s">
        <v>336</v>
      </c>
      <c r="B39" s="143"/>
      <c r="C39" s="143"/>
      <c r="D39" s="143"/>
      <c r="E39" s="164">
        <v>213</v>
      </c>
      <c r="F39" s="439">
        <f t="shared" si="4"/>
        <v>1.2435777673984119E-2</v>
      </c>
      <c r="G39" s="164">
        <v>14688</v>
      </c>
      <c r="H39" s="439">
        <f t="shared" si="5"/>
        <v>1.4501633986928105E-2</v>
      </c>
    </row>
    <row r="40" spans="1:8">
      <c r="A40" s="143" t="s">
        <v>113</v>
      </c>
      <c r="B40" s="143"/>
      <c r="C40" s="143"/>
      <c r="D40" s="143"/>
      <c r="E40" s="164">
        <v>721</v>
      </c>
      <c r="F40" s="439">
        <f t="shared" si="4"/>
        <v>4.2094815506772534E-2</v>
      </c>
      <c r="G40" s="164">
        <v>16904</v>
      </c>
      <c r="H40" s="439">
        <f t="shared" si="5"/>
        <v>4.2652626597255085E-2</v>
      </c>
    </row>
    <row r="41" spans="1:8">
      <c r="A41" s="143" t="s">
        <v>335</v>
      </c>
      <c r="B41" s="143"/>
      <c r="C41" s="143"/>
      <c r="D41" s="143"/>
      <c r="E41" s="164">
        <v>1873</v>
      </c>
      <c r="F41" s="439">
        <f t="shared" si="4"/>
        <v>0.10935310602522186</v>
      </c>
      <c r="G41" s="164">
        <v>37400</v>
      </c>
      <c r="H41" s="439">
        <f t="shared" si="5"/>
        <v>5.0080213903743315E-2</v>
      </c>
    </row>
    <row r="42" spans="1:8" s="160" customFormat="1">
      <c r="E42" s="6"/>
      <c r="F42" s="3"/>
      <c r="G42" s="6"/>
      <c r="H42" s="3"/>
    </row>
    <row r="43" spans="1:8" ht="16.5">
      <c r="A43" s="234" t="s">
        <v>535</v>
      </c>
      <c r="B43" s="211"/>
      <c r="C43" s="32"/>
    </row>
    <row r="44" spans="1:8">
      <c r="A44" s="75" t="s">
        <v>192</v>
      </c>
      <c r="B44" s="75"/>
      <c r="C44" s="75"/>
    </row>
    <row r="51" spans="1:3">
      <c r="A51" s="130" t="s">
        <v>0</v>
      </c>
      <c r="B51" s="130"/>
      <c r="C51" s="130"/>
    </row>
  </sheetData>
  <customSheetViews>
    <customSheetView guid="{00BB8FC3-0B7F-4485-B1CD-FF164EC3970C}" fitToPage="1" topLeftCell="A22">
      <selection activeCell="G46" sqref="G46"/>
      <pageMargins left="0.7" right="0.7" top="0.78740157499999996" bottom="0.78740157499999996" header="0.3" footer="0.3"/>
      <pageSetup paperSize="9" scale="85" orientation="portrait" r:id="rId1"/>
    </customSheetView>
    <customSheetView guid="{5DDDE19F-F10F-4514-A83C-F71CDD7BE512}" showPageBreaks="1" fitToPage="1" topLeftCell="A22">
      <selection activeCell="G46" sqref="G46"/>
      <pageMargins left="0.7" right="0.7" top="0.78740157499999996" bottom="0.78740157499999996" header="0.3" footer="0.3"/>
      <pageSetup paperSize="9" scale="85" orientation="portrait" r:id="rId2"/>
    </customSheetView>
    <customSheetView guid="{9A6D0F5E-68D7-4772-8712-9975EE0A4B2C}" fitToPage="1" topLeftCell="A22">
      <selection activeCell="G46" sqref="G46"/>
      <pageMargins left="0.7" right="0.7" top="0.78740157499999996" bottom="0.78740157499999996" header="0.3" footer="0.3"/>
      <pageSetup paperSize="9" scale="85" orientation="portrait" r:id="rId3"/>
    </customSheetView>
  </customSheetViews>
  <mergeCells count="1">
    <mergeCell ref="A1:F2"/>
  </mergeCells>
  <pageMargins left="0.7" right="0.7" top="0.78740157499999996" bottom="0.78740157499999996" header="0.3" footer="0.3"/>
  <pageSetup paperSize="9" scale="75" orientation="portrait"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30"/>
  <sheetViews>
    <sheetView workbookViewId="0">
      <selection activeCell="L15" sqref="L15"/>
    </sheetView>
  </sheetViews>
  <sheetFormatPr baseColWidth="10" defaultRowHeight="15"/>
  <cols>
    <col min="8" max="8" width="21.28515625" bestFit="1" customWidth="1"/>
  </cols>
  <sheetData>
    <row r="1" spans="1:8" ht="39.75" customHeight="1">
      <c r="A1" s="660" t="s">
        <v>691</v>
      </c>
      <c r="B1" s="660"/>
      <c r="C1" s="10"/>
      <c r="D1" s="10"/>
      <c r="E1" s="10"/>
      <c r="F1" s="10"/>
      <c r="G1" s="10"/>
    </row>
    <row r="6" spans="1:8">
      <c r="E6" s="577" t="s">
        <v>25</v>
      </c>
      <c r="F6" s="577" t="s">
        <v>346</v>
      </c>
      <c r="G6" s="577" t="s">
        <v>68</v>
      </c>
      <c r="H6" s="577" t="s">
        <v>366</v>
      </c>
    </row>
    <row r="8" spans="1:8">
      <c r="A8" s="172" t="s">
        <v>365</v>
      </c>
      <c r="B8" s="33"/>
      <c r="E8" s="543">
        <v>18468</v>
      </c>
      <c r="F8" s="37"/>
      <c r="G8" s="543">
        <v>376900</v>
      </c>
      <c r="H8" s="37">
        <f>E8/G8</f>
        <v>4.8999734677633328E-2</v>
      </c>
    </row>
    <row r="10" spans="1:8">
      <c r="A10" s="172" t="s">
        <v>364</v>
      </c>
      <c r="E10" s="543">
        <v>13116</v>
      </c>
      <c r="F10" s="37">
        <f>E10/E8</f>
        <v>0.71020142949967513</v>
      </c>
      <c r="G10" s="543">
        <v>233995</v>
      </c>
      <c r="H10" s="37">
        <f>E10/G10</f>
        <v>5.6052479753840895E-2</v>
      </c>
    </row>
    <row r="11" spans="1:8">
      <c r="A11" t="s">
        <v>210</v>
      </c>
      <c r="E11" s="6"/>
      <c r="F11" s="3"/>
      <c r="G11" s="6"/>
      <c r="H11" s="3" t="s">
        <v>0</v>
      </c>
    </row>
    <row r="12" spans="1:8">
      <c r="A12" t="s">
        <v>205</v>
      </c>
      <c r="E12" s="6">
        <v>1457</v>
      </c>
      <c r="F12" s="3">
        <f>E12/E8</f>
        <v>7.8893220706086203E-2</v>
      </c>
      <c r="G12" s="6">
        <v>21551</v>
      </c>
      <c r="H12" s="3">
        <f t="shared" ref="H12:H23" si="0">E12/G12</f>
        <v>6.7607071597605678E-2</v>
      </c>
    </row>
    <row r="13" spans="1:8">
      <c r="A13" t="s">
        <v>363</v>
      </c>
      <c r="E13" s="6">
        <v>225</v>
      </c>
      <c r="F13" s="3">
        <f>E13/E8</f>
        <v>1.2183235867446393E-2</v>
      </c>
      <c r="G13" s="6">
        <v>9917</v>
      </c>
      <c r="H13" s="3">
        <f t="shared" si="0"/>
        <v>2.2688312997882425E-2</v>
      </c>
    </row>
    <row r="14" spans="1:8">
      <c r="A14" t="s">
        <v>362</v>
      </c>
      <c r="E14" s="6">
        <v>425</v>
      </c>
      <c r="F14" s="3">
        <f>E14/E8</f>
        <v>2.3012778860732077E-2</v>
      </c>
      <c r="G14" s="6">
        <v>7371</v>
      </c>
      <c r="H14" s="3">
        <f t="shared" si="0"/>
        <v>5.7658390991724325E-2</v>
      </c>
    </row>
    <row r="15" spans="1:8">
      <c r="A15" t="s">
        <v>195</v>
      </c>
      <c r="E15" s="6">
        <v>2937</v>
      </c>
      <c r="F15" s="3">
        <f>E15/E8</f>
        <v>0.15903183885640026</v>
      </c>
      <c r="G15" s="6">
        <v>18711</v>
      </c>
      <c r="H15" s="3">
        <f t="shared" si="0"/>
        <v>0.15696649029982362</v>
      </c>
    </row>
    <row r="16" spans="1:8">
      <c r="A16" t="s">
        <v>196</v>
      </c>
      <c r="E16" s="6">
        <v>2227</v>
      </c>
      <c r="F16" s="3">
        <f>E16/E8</f>
        <v>0.12058696123023609</v>
      </c>
      <c r="G16" s="6">
        <v>30884</v>
      </c>
      <c r="H16" s="3">
        <f t="shared" si="0"/>
        <v>7.2108535163838874E-2</v>
      </c>
    </row>
    <row r="17" spans="1:8">
      <c r="A17" t="s">
        <v>361</v>
      </c>
      <c r="E17" s="6">
        <v>1079</v>
      </c>
      <c r="F17" s="3">
        <f>E17/E8</f>
        <v>5.8425384448776263E-2</v>
      </c>
      <c r="G17" s="6">
        <v>15188</v>
      </c>
      <c r="H17" s="3">
        <f t="shared" si="0"/>
        <v>7.1042928627864099E-2</v>
      </c>
    </row>
    <row r="18" spans="1:8">
      <c r="E18" s="6"/>
      <c r="F18" s="3"/>
      <c r="G18" s="6"/>
      <c r="H18" s="3"/>
    </row>
    <row r="19" spans="1:8">
      <c r="A19" s="172" t="s">
        <v>360</v>
      </c>
      <c r="B19" s="33"/>
      <c r="E19" s="543">
        <v>1907</v>
      </c>
      <c r="F19" s="37">
        <f>E19/E8</f>
        <v>0.10325969244097899</v>
      </c>
      <c r="G19" s="543">
        <v>84853</v>
      </c>
      <c r="H19" s="37">
        <f t="shared" si="0"/>
        <v>2.2474161196422048E-2</v>
      </c>
    </row>
    <row r="20" spans="1:8">
      <c r="A20" s="172"/>
      <c r="B20" s="33"/>
      <c r="E20" s="6" t="s">
        <v>0</v>
      </c>
      <c r="F20" s="3"/>
      <c r="G20" s="6"/>
      <c r="H20" s="3"/>
    </row>
    <row r="21" spans="1:8">
      <c r="A21" s="172" t="s">
        <v>359</v>
      </c>
      <c r="B21" s="33"/>
      <c r="C21" s="33"/>
      <c r="E21" s="543">
        <v>657</v>
      </c>
      <c r="F21" s="37">
        <f>E21/E8</f>
        <v>3.5575048732943468E-2</v>
      </c>
      <c r="G21" s="543">
        <v>6900</v>
      </c>
      <c r="H21" s="37">
        <f t="shared" si="0"/>
        <v>9.5217391304347823E-2</v>
      </c>
    </row>
    <row r="22" spans="1:8">
      <c r="A22" s="172"/>
      <c r="B22" s="33"/>
      <c r="C22" s="33"/>
      <c r="E22" s="6"/>
      <c r="F22" s="3"/>
      <c r="G22" s="6"/>
      <c r="H22" s="3"/>
    </row>
    <row r="23" spans="1:8">
      <c r="A23" s="172" t="s">
        <v>358</v>
      </c>
      <c r="E23" s="543">
        <v>2789</v>
      </c>
      <c r="F23" s="37">
        <f>E23/E8</f>
        <v>0.15101797704136885</v>
      </c>
      <c r="G23" s="543">
        <v>51152</v>
      </c>
      <c r="H23" s="37">
        <f t="shared" si="0"/>
        <v>5.4523772286518613E-2</v>
      </c>
    </row>
    <row r="24" spans="1:8">
      <c r="A24" t="s">
        <v>210</v>
      </c>
      <c r="E24" s="6" t="s">
        <v>0</v>
      </c>
    </row>
    <row r="25" spans="1:8">
      <c r="A25" s="143" t="s">
        <v>206</v>
      </c>
      <c r="E25" s="6">
        <v>1213</v>
      </c>
      <c r="F25" s="3">
        <f>E25/E8</f>
        <v>6.5681178254277675E-2</v>
      </c>
      <c r="G25" s="6">
        <v>18314</v>
      </c>
      <c r="H25" s="3">
        <f>E25/G25</f>
        <v>6.6233482581631545E-2</v>
      </c>
    </row>
    <row r="26" spans="1:8">
      <c r="A26" t="s">
        <v>207</v>
      </c>
      <c r="E26" s="6">
        <v>432</v>
      </c>
      <c r="F26" s="3">
        <f>E26/E8</f>
        <v>2.3391812865497075E-2</v>
      </c>
      <c r="G26" s="6">
        <v>9228</v>
      </c>
      <c r="H26" s="3">
        <f>E26/G26</f>
        <v>4.6814044213263982E-2</v>
      </c>
    </row>
    <row r="27" spans="1:8">
      <c r="A27" t="s">
        <v>357</v>
      </c>
      <c r="E27" s="6">
        <v>1144</v>
      </c>
      <c r="F27" s="3">
        <f>E27/E8</f>
        <v>6.1944985921594108E-2</v>
      </c>
      <c r="G27" s="6">
        <v>23610</v>
      </c>
      <c r="H27" s="3">
        <f>E27/G27</f>
        <v>4.8454044896230411E-2</v>
      </c>
    </row>
    <row r="28" spans="1:8">
      <c r="E28" s="6"/>
      <c r="F28" s="6"/>
      <c r="G28" s="3"/>
      <c r="H28" s="3"/>
    </row>
    <row r="29" spans="1:8">
      <c r="A29" s="75" t="s">
        <v>656</v>
      </c>
      <c r="B29" s="75"/>
      <c r="C29" s="75"/>
    </row>
    <row r="30" spans="1:8">
      <c r="A30" s="75" t="s">
        <v>334</v>
      </c>
      <c r="B30" s="75"/>
      <c r="C30" s="75"/>
    </row>
  </sheetData>
  <customSheetViews>
    <customSheetView guid="{00BB8FC3-0B7F-4485-B1CD-FF164EC3970C}" fitToPage="1">
      <selection activeCell="F10" sqref="F10"/>
      <pageMargins left="0.7" right="0.7" top="0.78740157499999996" bottom="0.78740157499999996" header="0.3" footer="0.3"/>
      <pageSetup scale="91" orientation="portrait" r:id="rId1"/>
    </customSheetView>
    <customSheetView guid="{5DDDE19F-F10F-4514-A83C-F71CDD7BE512}" fitToPage="1">
      <selection activeCell="F10" sqref="F10"/>
      <pageMargins left="0.7" right="0.7" top="0.78740157499999996" bottom="0.78740157499999996" header="0.3" footer="0.3"/>
      <pageSetup scale="91" orientation="portrait" r:id="rId2"/>
    </customSheetView>
    <customSheetView guid="{9A6D0F5E-68D7-4772-8712-9975EE0A4B2C}" fitToPage="1">
      <selection activeCell="F10" sqref="F10"/>
      <pageMargins left="0.7" right="0.7" top="0.78740157499999996" bottom="0.78740157499999996" header="0.3" footer="0.3"/>
      <pageSetup scale="91" orientation="portrait" r:id="rId3"/>
    </customSheetView>
  </customSheetViews>
  <pageMargins left="0.7" right="0.7" top="0.78740157499999996" bottom="0.78740157499999996" header="0.3" footer="0.3"/>
  <pageSetup scale="89" orientation="portrait" r:id="rId4"/>
  <drawing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S48"/>
  <sheetViews>
    <sheetView zoomScaleNormal="100" workbookViewId="0">
      <selection activeCell="M34" sqref="M34"/>
    </sheetView>
  </sheetViews>
  <sheetFormatPr baseColWidth="10" defaultRowHeight="15"/>
  <cols>
    <col min="2" max="2" width="21.7109375" customWidth="1"/>
  </cols>
  <sheetData>
    <row r="1" spans="1:19" ht="39.75" customHeight="1">
      <c r="A1" s="796" t="s">
        <v>182</v>
      </c>
      <c r="B1" s="796"/>
      <c r="C1" s="796"/>
      <c r="D1" s="796"/>
      <c r="E1" s="63"/>
    </row>
    <row r="3" spans="1:19" ht="15.75">
      <c r="A3" s="144" t="s">
        <v>396</v>
      </c>
      <c r="B3" s="144"/>
      <c r="C3" s="145"/>
      <c r="D3" s="59"/>
      <c r="E3" s="59"/>
      <c r="K3" s="770" t="s">
        <v>396</v>
      </c>
      <c r="L3" s="770"/>
      <c r="M3" s="771"/>
      <c r="N3" s="772"/>
      <c r="O3" s="772"/>
      <c r="P3" s="638"/>
      <c r="Q3" s="638"/>
      <c r="R3" s="638"/>
      <c r="S3" s="638"/>
    </row>
    <row r="4" spans="1:19" ht="15.75">
      <c r="A4" s="22" t="s">
        <v>397</v>
      </c>
      <c r="B4" s="22"/>
      <c r="C4" s="22"/>
      <c r="D4" s="22" t="s">
        <v>0</v>
      </c>
      <c r="E4" s="152" t="s">
        <v>0</v>
      </c>
      <c r="K4" s="773" t="s">
        <v>397</v>
      </c>
      <c r="L4" s="773"/>
      <c r="M4" s="773"/>
      <c r="N4" s="773" t="s">
        <v>0</v>
      </c>
      <c r="O4" s="774" t="s">
        <v>0</v>
      </c>
      <c r="P4" s="638"/>
      <c r="Q4" s="638"/>
      <c r="R4" s="638"/>
      <c r="S4" s="638"/>
    </row>
    <row r="5" spans="1:19">
      <c r="A5" s="170"/>
      <c r="B5" s="170"/>
      <c r="C5" s="578">
        <v>2013</v>
      </c>
      <c r="D5" s="172">
        <v>2014</v>
      </c>
      <c r="E5" s="578">
        <v>2016</v>
      </c>
      <c r="F5" s="199">
        <v>2020</v>
      </c>
      <c r="G5" s="199">
        <v>2021</v>
      </c>
      <c r="H5" s="199">
        <v>2022</v>
      </c>
      <c r="I5" s="199">
        <v>2023</v>
      </c>
      <c r="K5" s="775"/>
      <c r="L5" s="775"/>
      <c r="M5" s="776">
        <v>2013</v>
      </c>
      <c r="N5" s="748">
        <v>2014</v>
      </c>
      <c r="O5" s="776">
        <v>2016</v>
      </c>
      <c r="P5" s="777">
        <v>2020</v>
      </c>
      <c r="Q5" s="777">
        <v>2021</v>
      </c>
      <c r="R5" s="777">
        <v>2022</v>
      </c>
      <c r="S5" s="777">
        <v>2023</v>
      </c>
    </row>
    <row r="6" spans="1:19">
      <c r="A6" s="170" t="s">
        <v>197</v>
      </c>
      <c r="B6" s="170"/>
      <c r="C6" s="164">
        <v>36795</v>
      </c>
      <c r="D6" s="238">
        <v>36840</v>
      </c>
      <c r="E6" s="238">
        <v>36912</v>
      </c>
      <c r="F6" s="164">
        <v>38181</v>
      </c>
      <c r="G6" s="164">
        <v>44853</v>
      </c>
      <c r="H6" s="164">
        <v>52045</v>
      </c>
      <c r="I6" s="164">
        <v>50348</v>
      </c>
      <c r="K6" s="775" t="s">
        <v>199</v>
      </c>
      <c r="L6" s="775"/>
      <c r="M6" s="749">
        <v>12035</v>
      </c>
      <c r="N6" s="778">
        <v>10810</v>
      </c>
      <c r="O6" s="778">
        <v>10164</v>
      </c>
      <c r="P6" s="749">
        <v>11031</v>
      </c>
      <c r="Q6" s="749">
        <v>12598</v>
      </c>
      <c r="R6" s="749">
        <v>13449</v>
      </c>
      <c r="S6" s="749">
        <v>12823</v>
      </c>
    </row>
    <row r="7" spans="1:19">
      <c r="A7" s="457" t="s">
        <v>25</v>
      </c>
      <c r="B7" s="457"/>
      <c r="C7" s="464">
        <v>27839</v>
      </c>
      <c r="D7" s="521">
        <v>30103</v>
      </c>
      <c r="E7" s="521">
        <v>30956</v>
      </c>
      <c r="F7" s="464">
        <v>31056</v>
      </c>
      <c r="G7" s="464">
        <v>36450</v>
      </c>
      <c r="H7" s="464">
        <v>40816</v>
      </c>
      <c r="I7" s="464">
        <v>38942</v>
      </c>
      <c r="K7" s="775" t="s">
        <v>191</v>
      </c>
      <c r="L7" s="775"/>
      <c r="M7" s="749">
        <v>15025</v>
      </c>
      <c r="N7" s="778">
        <v>15893</v>
      </c>
      <c r="O7" s="778">
        <v>15833</v>
      </c>
      <c r="P7" s="749">
        <v>16215</v>
      </c>
      <c r="Q7" s="749">
        <v>17526</v>
      </c>
      <c r="R7" s="749">
        <v>20359</v>
      </c>
      <c r="S7" s="749">
        <v>21271</v>
      </c>
    </row>
    <row r="8" spans="1:19">
      <c r="A8" s="170" t="s">
        <v>187</v>
      </c>
      <c r="B8" s="170"/>
      <c r="C8" s="164">
        <v>23466</v>
      </c>
      <c r="D8" s="238">
        <v>22704</v>
      </c>
      <c r="E8" s="238">
        <v>24215</v>
      </c>
      <c r="F8" s="164">
        <v>26178</v>
      </c>
      <c r="G8" s="164">
        <v>30874</v>
      </c>
      <c r="H8" s="164">
        <v>37319</v>
      </c>
      <c r="I8" s="164">
        <v>38131</v>
      </c>
      <c r="K8" s="775" t="s">
        <v>185</v>
      </c>
      <c r="L8" s="775"/>
      <c r="M8" s="749">
        <v>19163</v>
      </c>
      <c r="N8" s="778">
        <v>19050</v>
      </c>
      <c r="O8" s="778">
        <v>19802</v>
      </c>
      <c r="P8" s="749">
        <v>22075</v>
      </c>
      <c r="Q8" s="749">
        <v>25093</v>
      </c>
      <c r="R8" s="749">
        <v>27897</v>
      </c>
      <c r="S8" s="749">
        <v>27651</v>
      </c>
    </row>
    <row r="9" spans="1:19">
      <c r="A9" s="170" t="s">
        <v>190</v>
      </c>
      <c r="B9" s="170"/>
      <c r="C9" s="164">
        <v>26077</v>
      </c>
      <c r="D9" s="238">
        <v>26235</v>
      </c>
      <c r="E9" s="238">
        <v>25574</v>
      </c>
      <c r="F9" s="164">
        <v>28282</v>
      </c>
      <c r="G9" s="164">
        <v>33017</v>
      </c>
      <c r="H9" s="164">
        <v>36987</v>
      </c>
      <c r="I9" s="164">
        <v>36308</v>
      </c>
      <c r="K9" s="775" t="s">
        <v>198</v>
      </c>
      <c r="L9" s="775"/>
      <c r="M9" s="749">
        <v>24512</v>
      </c>
      <c r="N9" s="778">
        <v>23119</v>
      </c>
      <c r="O9" s="778">
        <v>21242</v>
      </c>
      <c r="P9" s="749">
        <v>21714</v>
      </c>
      <c r="Q9" s="749">
        <v>25914</v>
      </c>
      <c r="R9" s="749">
        <v>30571</v>
      </c>
      <c r="S9" s="749">
        <v>29632</v>
      </c>
    </row>
    <row r="10" spans="1:19">
      <c r="A10" s="170" t="s">
        <v>398</v>
      </c>
      <c r="B10" s="170"/>
      <c r="C10" s="164">
        <v>18006</v>
      </c>
      <c r="D10" s="238">
        <v>17701</v>
      </c>
      <c r="E10" s="238">
        <v>19385</v>
      </c>
      <c r="F10" s="164">
        <v>22279</v>
      </c>
      <c r="G10" s="164">
        <v>26780</v>
      </c>
      <c r="H10" s="164">
        <v>31647</v>
      </c>
      <c r="I10" s="164">
        <v>31149</v>
      </c>
      <c r="K10" s="775" t="s">
        <v>398</v>
      </c>
      <c r="L10" s="775"/>
      <c r="M10" s="749">
        <v>18006</v>
      </c>
      <c r="N10" s="778">
        <v>17701</v>
      </c>
      <c r="O10" s="778">
        <v>19385</v>
      </c>
      <c r="P10" s="749">
        <v>22279</v>
      </c>
      <c r="Q10" s="749">
        <v>26780</v>
      </c>
      <c r="R10" s="749">
        <v>31647</v>
      </c>
      <c r="S10" s="749">
        <v>31149</v>
      </c>
    </row>
    <row r="11" spans="1:19">
      <c r="A11" s="170" t="s">
        <v>198</v>
      </c>
      <c r="B11" s="170"/>
      <c r="C11" s="164">
        <v>24512</v>
      </c>
      <c r="D11" s="238">
        <v>23119</v>
      </c>
      <c r="E11" s="238">
        <v>21242</v>
      </c>
      <c r="F11" s="164">
        <v>21714</v>
      </c>
      <c r="G11" s="164">
        <v>25914</v>
      </c>
      <c r="H11" s="164">
        <v>30571</v>
      </c>
      <c r="I11" s="164">
        <v>29632</v>
      </c>
      <c r="K11" s="775" t="s">
        <v>190</v>
      </c>
      <c r="L11" s="775"/>
      <c r="M11" s="749">
        <v>26077</v>
      </c>
      <c r="N11" s="778">
        <v>26235</v>
      </c>
      <c r="O11" s="778">
        <v>25574</v>
      </c>
      <c r="P11" s="749">
        <v>28282</v>
      </c>
      <c r="Q11" s="749">
        <v>33017</v>
      </c>
      <c r="R11" s="749">
        <v>36987</v>
      </c>
      <c r="S11" s="749">
        <v>36308</v>
      </c>
    </row>
    <row r="12" spans="1:19">
      <c r="A12" s="170" t="s">
        <v>185</v>
      </c>
      <c r="B12" s="170"/>
      <c r="C12" s="164">
        <v>19163</v>
      </c>
      <c r="D12" s="238">
        <v>19050</v>
      </c>
      <c r="E12" s="238">
        <v>19802</v>
      </c>
      <c r="F12" s="164">
        <v>22075</v>
      </c>
      <c r="G12" s="164">
        <v>25093</v>
      </c>
      <c r="H12" s="164">
        <v>27897</v>
      </c>
      <c r="I12" s="164">
        <v>27651</v>
      </c>
      <c r="K12" s="775" t="s">
        <v>187</v>
      </c>
      <c r="L12" s="775"/>
      <c r="M12" s="749">
        <v>23466</v>
      </c>
      <c r="N12" s="778">
        <v>22704</v>
      </c>
      <c r="O12" s="778">
        <v>24215</v>
      </c>
      <c r="P12" s="749">
        <v>26178</v>
      </c>
      <c r="Q12" s="749">
        <v>30874</v>
      </c>
      <c r="R12" s="749">
        <v>37319</v>
      </c>
      <c r="S12" s="749">
        <v>38131</v>
      </c>
    </row>
    <row r="13" spans="1:19">
      <c r="A13" s="170" t="s">
        <v>191</v>
      </c>
      <c r="B13" s="170"/>
      <c r="C13" s="164">
        <v>15025</v>
      </c>
      <c r="D13" s="238">
        <v>15893</v>
      </c>
      <c r="E13" s="238">
        <v>15833</v>
      </c>
      <c r="F13" s="164">
        <v>16215</v>
      </c>
      <c r="G13" s="164">
        <v>17526</v>
      </c>
      <c r="H13" s="164">
        <v>20359</v>
      </c>
      <c r="I13" s="164">
        <v>21271</v>
      </c>
      <c r="K13" s="777" t="s">
        <v>25</v>
      </c>
      <c r="L13" s="777"/>
      <c r="M13" s="751">
        <v>27839</v>
      </c>
      <c r="N13" s="779">
        <v>30103</v>
      </c>
      <c r="O13" s="779">
        <v>30956</v>
      </c>
      <c r="P13" s="751">
        <v>31056</v>
      </c>
      <c r="Q13" s="751">
        <v>36450</v>
      </c>
      <c r="R13" s="751">
        <v>40816</v>
      </c>
      <c r="S13" s="751">
        <v>38942</v>
      </c>
    </row>
    <row r="14" spans="1:19">
      <c r="A14" s="170" t="s">
        <v>199</v>
      </c>
      <c r="B14" s="170"/>
      <c r="C14" s="164">
        <v>12035</v>
      </c>
      <c r="D14" s="238">
        <v>10810</v>
      </c>
      <c r="E14" s="238">
        <v>10164</v>
      </c>
      <c r="F14" s="164">
        <v>11031</v>
      </c>
      <c r="G14" s="164">
        <v>12598</v>
      </c>
      <c r="H14" s="164">
        <v>13449</v>
      </c>
      <c r="I14" s="164">
        <v>12823</v>
      </c>
      <c r="K14" s="775" t="s">
        <v>197</v>
      </c>
      <c r="L14" s="775"/>
      <c r="M14" s="749">
        <v>36795</v>
      </c>
      <c r="N14" s="778">
        <v>36840</v>
      </c>
      <c r="O14" s="778">
        <v>36912</v>
      </c>
      <c r="P14" s="749">
        <v>38181</v>
      </c>
      <c r="Q14" s="749">
        <v>44853</v>
      </c>
      <c r="R14" s="749">
        <v>52045</v>
      </c>
      <c r="S14" s="749">
        <v>50348</v>
      </c>
    </row>
    <row r="15" spans="1:19">
      <c r="A15" s="196" t="s">
        <v>68</v>
      </c>
      <c r="B15" s="196"/>
      <c r="C15" s="237">
        <v>23095</v>
      </c>
      <c r="D15" s="544">
        <v>22602</v>
      </c>
      <c r="E15" s="544">
        <v>22318</v>
      </c>
      <c r="F15" s="237">
        <v>23678</v>
      </c>
      <c r="G15" s="237">
        <v>27702</v>
      </c>
      <c r="H15" s="237">
        <v>31730</v>
      </c>
      <c r="I15" s="237">
        <v>30951</v>
      </c>
      <c r="K15" s="777" t="s">
        <v>68</v>
      </c>
      <c r="L15" s="777"/>
      <c r="M15" s="751">
        <v>23095</v>
      </c>
      <c r="N15" s="779">
        <v>22602</v>
      </c>
      <c r="O15" s="779">
        <v>22318</v>
      </c>
      <c r="P15" s="751">
        <v>23678</v>
      </c>
      <c r="Q15" s="751">
        <v>27702</v>
      </c>
      <c r="R15" s="751">
        <v>31730</v>
      </c>
      <c r="S15" s="751">
        <v>30951</v>
      </c>
    </row>
    <row r="23" spans="1:8">
      <c r="F23" t="s">
        <v>0</v>
      </c>
      <c r="G23" t="s">
        <v>0</v>
      </c>
      <c r="H23" t="s">
        <v>0</v>
      </c>
    </row>
    <row r="24" spans="1:8">
      <c r="F24" t="s">
        <v>0</v>
      </c>
      <c r="G24" t="s">
        <v>0</v>
      </c>
      <c r="H24" t="s">
        <v>0</v>
      </c>
    </row>
    <row r="31" spans="1:8">
      <c r="A31" s="2"/>
      <c r="B31" s="2"/>
      <c r="C31" s="2"/>
      <c r="D31" s="2"/>
      <c r="E31" s="2"/>
    </row>
    <row r="32" spans="1:8" ht="15.75">
      <c r="A32" s="153"/>
      <c r="B32" s="154"/>
      <c r="C32" s="154"/>
      <c r="D32" s="154"/>
      <c r="E32" s="2"/>
    </row>
    <row r="33" spans="1:9" ht="15.75">
      <c r="A33" s="154"/>
      <c r="B33" s="154"/>
      <c r="C33" s="154"/>
      <c r="D33" s="154"/>
      <c r="E33" s="2"/>
    </row>
    <row r="34" spans="1:9" ht="15.75">
      <c r="A34" s="75" t="s">
        <v>334</v>
      </c>
      <c r="B34" s="657"/>
      <c r="C34" s="155"/>
      <c r="D34" s="155"/>
      <c r="E34" s="2"/>
    </row>
    <row r="35" spans="1:9" ht="15.75">
      <c r="A35" s="96"/>
      <c r="B35" s="90"/>
      <c r="C35" s="90"/>
      <c r="D35" s="95"/>
      <c r="E35" s="2"/>
    </row>
    <row r="37" spans="1:9">
      <c r="E37" s="2"/>
    </row>
    <row r="38" spans="1:9" ht="15.75">
      <c r="A38" s="50"/>
      <c r="B38" s="50"/>
      <c r="C38" s="97"/>
      <c r="D38" s="156"/>
      <c r="E38" s="2"/>
      <c r="F38" s="720" t="s">
        <v>499</v>
      </c>
      <c r="G38" s="720"/>
      <c r="H38" s="720"/>
      <c r="I38" s="720"/>
    </row>
    <row r="39" spans="1:9" ht="15.75">
      <c r="A39" s="739"/>
      <c r="B39" s="740"/>
      <c r="C39" s="740"/>
      <c r="D39" s="741"/>
      <c r="E39" s="2"/>
    </row>
    <row r="40" spans="1:9">
      <c r="A40" s="2"/>
    </row>
    <row r="41" spans="1:9">
      <c r="A41" s="23"/>
      <c r="B41" s="23"/>
      <c r="C41" s="23"/>
      <c r="D41" s="23"/>
      <c r="E41" s="2"/>
    </row>
    <row r="42" spans="1:9" ht="15.75">
      <c r="A42" s="742" t="s">
        <v>563</v>
      </c>
      <c r="B42" s="743"/>
      <c r="C42" s="743"/>
      <c r="D42" s="744"/>
      <c r="E42" s="2"/>
    </row>
    <row r="43" spans="1:9" ht="15.75">
      <c r="A43" s="157"/>
      <c r="B43" s="157"/>
      <c r="C43" s="157"/>
      <c r="D43" s="157"/>
      <c r="E43" s="157"/>
    </row>
    <row r="44" spans="1:9">
      <c r="A44" s="23"/>
      <c r="B44" s="2"/>
      <c r="C44" s="2"/>
      <c r="D44" s="2"/>
      <c r="E44" s="2"/>
    </row>
    <row r="45" spans="1:9">
      <c r="A45" s="23"/>
      <c r="B45" s="2"/>
      <c r="C45" s="2"/>
      <c r="D45" s="2"/>
      <c r="E45" s="2"/>
    </row>
    <row r="46" spans="1:9">
      <c r="B46" s="24"/>
      <c r="C46" s="2"/>
      <c r="D46" s="2"/>
      <c r="E46" s="2"/>
    </row>
    <row r="47" spans="1:9" ht="15.75">
      <c r="A47" s="21"/>
      <c r="B47" s="2"/>
      <c r="C47" s="2"/>
      <c r="D47" s="2"/>
      <c r="E47" s="2"/>
    </row>
    <row r="48" spans="1:9" ht="15.75">
      <c r="A48" s="21"/>
      <c r="B48" s="2"/>
      <c r="C48" s="2"/>
      <c r="D48" s="2"/>
      <c r="E48" s="2"/>
    </row>
  </sheetData>
  <customSheetViews>
    <customSheetView guid="{00BB8FC3-0B7F-4485-B1CD-FF164EC3970C}" fitToPage="1" topLeftCell="D1">
      <selection activeCell="S25" sqref="S25"/>
      <pageMargins left="0.7" right="0.7" top="0.78740157499999996" bottom="0.78740157499999996" header="0.3" footer="0.3"/>
      <pageSetup paperSize="9" scale="64" orientation="landscape" r:id="rId1"/>
    </customSheetView>
    <customSheetView guid="{5DDDE19F-F10F-4514-A83C-F71CDD7BE512}" showPageBreaks="1" fitToPage="1" topLeftCell="D1">
      <selection activeCell="S25" sqref="S25"/>
      <pageMargins left="0.7" right="0.7" top="0.78740157499999996" bottom="0.78740157499999996" header="0.3" footer="0.3"/>
      <pageSetup paperSize="9" scale="64" orientation="landscape" r:id="rId2"/>
    </customSheetView>
    <customSheetView guid="{9A6D0F5E-68D7-4772-8712-9975EE0A4B2C}" fitToPage="1" topLeftCell="D1">
      <selection activeCell="S25" sqref="S25"/>
      <pageMargins left="0.7" right="0.7" top="0.78740157499999996" bottom="0.78740157499999996" header="0.3" footer="0.3"/>
      <pageSetup paperSize="9" scale="64" orientation="landscape" r:id="rId3"/>
    </customSheetView>
  </customSheetViews>
  <mergeCells count="1">
    <mergeCell ref="A1:D1"/>
  </mergeCells>
  <pageMargins left="0.7" right="0.7" top="0.78740157499999996" bottom="0.78740157499999996" header="0.3" footer="0.3"/>
  <pageSetup paperSize="9" scale="54"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0"/>
  <sheetViews>
    <sheetView workbookViewId="0">
      <selection activeCell="D45" sqref="D45"/>
    </sheetView>
  </sheetViews>
  <sheetFormatPr baseColWidth="10" defaultColWidth="10.85546875" defaultRowHeight="15"/>
  <cols>
    <col min="1" max="8" width="11.7109375" customWidth="1"/>
  </cols>
  <sheetData>
    <row r="1" spans="1:9" ht="39.950000000000003" customHeight="1">
      <c r="A1" s="796" t="s">
        <v>617</v>
      </c>
      <c r="B1" s="796"/>
      <c r="C1" s="796"/>
      <c r="D1" s="796"/>
      <c r="E1" s="796"/>
      <c r="F1" s="796"/>
      <c r="G1" s="796"/>
      <c r="H1" s="796"/>
    </row>
    <row r="2" spans="1:9">
      <c r="A2" s="8"/>
      <c r="B2" s="8"/>
      <c r="C2" s="8"/>
      <c r="D2" s="7"/>
      <c r="E2" s="7"/>
      <c r="F2" s="8"/>
    </row>
    <row r="3" spans="1:9">
      <c r="A3" s="401" t="s">
        <v>323</v>
      </c>
      <c r="B3" s="401"/>
      <c r="C3" s="401"/>
      <c r="D3" s="402"/>
      <c r="E3" s="403"/>
      <c r="F3" s="404"/>
      <c r="G3" s="405"/>
      <c r="H3" s="405"/>
    </row>
    <row r="4" spans="1:9">
      <c r="A4" s="8" t="s">
        <v>16</v>
      </c>
      <c r="B4" s="8"/>
      <c r="C4" s="8"/>
      <c r="E4" s="8"/>
      <c r="H4" s="412">
        <v>2601</v>
      </c>
    </row>
    <row r="5" spans="1:9">
      <c r="A5" s="8" t="s">
        <v>17</v>
      </c>
      <c r="B5" s="8"/>
      <c r="C5" s="8"/>
      <c r="E5" s="8"/>
      <c r="H5" s="412">
        <v>2530</v>
      </c>
    </row>
    <row r="6" spans="1:9">
      <c r="A6" s="8" t="s">
        <v>18</v>
      </c>
      <c r="B6" s="8"/>
      <c r="C6" s="8"/>
      <c r="E6" s="8"/>
      <c r="H6" s="413">
        <v>96</v>
      </c>
    </row>
    <row r="7" spans="1:9">
      <c r="A7" s="8" t="s">
        <v>19</v>
      </c>
      <c r="B7" s="8"/>
      <c r="C7" s="8"/>
      <c r="E7" s="8"/>
      <c r="H7" s="413">
        <v>5</v>
      </c>
    </row>
    <row r="8" spans="1:9">
      <c r="A8" s="8" t="s">
        <v>20</v>
      </c>
      <c r="B8" s="8"/>
      <c r="C8" s="8"/>
      <c r="E8" s="8"/>
      <c r="F8" s="130"/>
      <c r="G8" s="130"/>
      <c r="H8" s="413">
        <v>12</v>
      </c>
      <c r="I8" s="130"/>
    </row>
    <row r="9" spans="1:9" ht="17.25">
      <c r="A9" s="8" t="s">
        <v>510</v>
      </c>
      <c r="B9" s="8"/>
      <c r="C9" s="8"/>
      <c r="E9" s="161"/>
      <c r="F9" s="130"/>
      <c r="G9" s="130"/>
      <c r="H9" s="413">
        <v>411225</v>
      </c>
      <c r="I9" s="130"/>
    </row>
    <row r="10" spans="1:9" ht="17.25">
      <c r="A10" s="8" t="s">
        <v>511</v>
      </c>
      <c r="B10" s="8"/>
      <c r="C10" s="8"/>
      <c r="E10" s="161"/>
      <c r="F10" s="130"/>
      <c r="G10" s="130"/>
      <c r="H10" s="413">
        <v>35173</v>
      </c>
      <c r="I10" s="130"/>
    </row>
    <row r="11" spans="1:9">
      <c r="A11" s="8"/>
      <c r="B11" s="8"/>
      <c r="C11" s="8"/>
      <c r="D11" s="8"/>
      <c r="E11" s="236"/>
      <c r="F11" s="8"/>
      <c r="G11" s="130"/>
      <c r="H11" s="130"/>
      <c r="I11" s="130"/>
    </row>
    <row r="12" spans="1:9">
      <c r="A12" s="406" t="s">
        <v>21</v>
      </c>
      <c r="B12" s="406"/>
      <c r="C12" s="406"/>
      <c r="D12" s="407"/>
      <c r="E12" s="408"/>
      <c r="F12" s="409"/>
      <c r="G12" s="410"/>
      <c r="H12" s="410"/>
    </row>
    <row r="13" spans="1:9">
      <c r="A13" s="8" t="s">
        <v>726</v>
      </c>
      <c r="B13" s="8"/>
      <c r="C13" s="8"/>
      <c r="H13" s="413">
        <v>203890</v>
      </c>
      <c r="I13" s="161"/>
    </row>
    <row r="14" spans="1:9">
      <c r="A14" s="8" t="s">
        <v>725</v>
      </c>
      <c r="B14" s="8"/>
      <c r="C14" s="8"/>
      <c r="H14" s="413">
        <v>172678</v>
      </c>
      <c r="I14" s="161"/>
    </row>
    <row r="15" spans="1:9">
      <c r="A15" s="8" t="s">
        <v>724</v>
      </c>
      <c r="B15" s="8"/>
      <c r="C15" s="8"/>
      <c r="H15" s="413">
        <v>9394</v>
      </c>
      <c r="I15" s="8"/>
    </row>
    <row r="16" spans="1:9">
      <c r="A16" s="8" t="s">
        <v>723</v>
      </c>
      <c r="B16" s="8"/>
      <c r="C16" s="8"/>
      <c r="H16" s="530">
        <v>5.1999999999999998E-2</v>
      </c>
      <c r="I16" s="8"/>
    </row>
    <row r="17" spans="1:8">
      <c r="A17" s="8"/>
      <c r="B17" s="8"/>
      <c r="C17" s="8"/>
      <c r="D17" s="8"/>
      <c r="E17" s="233"/>
      <c r="F17" s="8"/>
    </row>
    <row r="18" spans="1:8">
      <c r="A18" s="401" t="s">
        <v>23</v>
      </c>
      <c r="B18" s="401"/>
      <c r="C18" s="401"/>
      <c r="D18" s="402"/>
      <c r="E18" s="411"/>
      <c r="F18" s="404"/>
      <c r="G18" s="405"/>
      <c r="H18" s="405"/>
    </row>
    <row r="19" spans="1:8" ht="17.25">
      <c r="A19" s="794" t="s">
        <v>512</v>
      </c>
      <c r="B19" s="794"/>
      <c r="C19" s="794"/>
      <c r="D19" s="794"/>
      <c r="E19" s="794"/>
      <c r="F19" s="794"/>
      <c r="G19" s="794"/>
      <c r="H19" s="413">
        <v>28766</v>
      </c>
    </row>
    <row r="20" spans="1:8">
      <c r="A20" s="794" t="s">
        <v>722</v>
      </c>
      <c r="B20" s="794"/>
      <c r="C20" s="794"/>
      <c r="D20" s="794"/>
      <c r="E20" s="794"/>
      <c r="F20" s="794"/>
      <c r="G20" s="794"/>
      <c r="H20" s="413">
        <v>1517</v>
      </c>
    </row>
    <row r="21" spans="1:8">
      <c r="A21" s="794" t="s">
        <v>721</v>
      </c>
      <c r="B21" s="794"/>
      <c r="C21" s="794"/>
      <c r="D21" s="794"/>
      <c r="E21" s="794"/>
      <c r="F21" s="794"/>
      <c r="G21" s="794"/>
      <c r="H21" s="413">
        <v>21143</v>
      </c>
    </row>
    <row r="22" spans="1:8" s="160" customFormat="1">
      <c r="A22" s="794" t="s">
        <v>720</v>
      </c>
      <c r="B22" s="794"/>
      <c r="C22" s="794"/>
      <c r="D22" s="794"/>
      <c r="E22" s="794"/>
      <c r="F22" s="794"/>
      <c r="G22" s="794"/>
      <c r="H22" s="413">
        <v>23588</v>
      </c>
    </row>
    <row r="23" spans="1:8">
      <c r="A23" s="794" t="s">
        <v>719</v>
      </c>
      <c r="B23" s="794"/>
      <c r="C23" s="794"/>
      <c r="D23" s="794"/>
      <c r="E23" s="794"/>
      <c r="F23" s="794"/>
      <c r="G23" s="794"/>
      <c r="H23" s="413">
        <v>58300</v>
      </c>
    </row>
    <row r="24" spans="1:8">
      <c r="A24" s="794" t="s">
        <v>718</v>
      </c>
      <c r="B24" s="794"/>
      <c r="C24" s="794"/>
      <c r="D24" s="794"/>
      <c r="E24" s="794"/>
      <c r="F24" s="794"/>
      <c r="G24" s="794"/>
      <c r="H24" s="413">
        <v>18468</v>
      </c>
    </row>
    <row r="25" spans="1:8">
      <c r="A25" s="794" t="s">
        <v>717</v>
      </c>
      <c r="B25" s="794"/>
      <c r="C25" s="794"/>
      <c r="D25" s="794"/>
      <c r="E25" s="794"/>
      <c r="F25" s="794"/>
      <c r="G25" s="794"/>
      <c r="H25" s="413">
        <v>38942</v>
      </c>
    </row>
    <row r="26" spans="1:8">
      <c r="A26" s="794" t="s">
        <v>692</v>
      </c>
      <c r="B26" s="794"/>
      <c r="C26" s="794"/>
      <c r="D26" s="794"/>
      <c r="E26" s="794"/>
      <c r="F26" s="794"/>
      <c r="G26" s="794"/>
      <c r="H26" s="413">
        <v>10106</v>
      </c>
    </row>
    <row r="27" spans="1:8">
      <c r="A27" s="794" t="s">
        <v>716</v>
      </c>
      <c r="B27" s="794"/>
      <c r="C27" s="794"/>
      <c r="D27" s="794"/>
      <c r="E27" s="794"/>
      <c r="F27" s="794"/>
      <c r="G27" s="794"/>
      <c r="H27" s="413">
        <v>1213</v>
      </c>
    </row>
    <row r="28" spans="1:8">
      <c r="A28" s="794" t="s">
        <v>715</v>
      </c>
      <c r="B28" s="794"/>
      <c r="C28" s="794"/>
      <c r="D28" s="794"/>
      <c r="E28" s="794"/>
      <c r="F28" s="794"/>
      <c r="G28" s="794"/>
      <c r="H28" s="413">
        <v>3842</v>
      </c>
    </row>
    <row r="29" spans="1:8">
      <c r="A29" s="794" t="s">
        <v>714</v>
      </c>
      <c r="B29" s="794"/>
      <c r="C29" s="794"/>
      <c r="D29" s="794"/>
      <c r="E29" s="794"/>
      <c r="F29" s="794"/>
      <c r="G29" s="794"/>
      <c r="H29" s="413">
        <v>9425947</v>
      </c>
    </row>
    <row r="30" spans="1:8">
      <c r="A30" s="794" t="s">
        <v>713</v>
      </c>
      <c r="B30" s="794"/>
      <c r="C30" s="794"/>
      <c r="D30" s="794"/>
      <c r="E30" s="794"/>
      <c r="F30" s="794"/>
      <c r="G30" s="794"/>
      <c r="H30" s="413">
        <v>13218</v>
      </c>
    </row>
    <row r="31" spans="1:8">
      <c r="A31" s="8"/>
      <c r="E31" s="180"/>
      <c r="F31" s="8"/>
    </row>
    <row r="32" spans="1:8">
      <c r="A32" s="8"/>
      <c r="B32" s="8"/>
      <c r="C32" s="8"/>
      <c r="D32" s="8"/>
      <c r="E32" s="197" t="s">
        <v>0</v>
      </c>
      <c r="F32" s="8"/>
    </row>
    <row r="33" spans="1:7" ht="14.45" customHeight="1">
      <c r="A33" s="795" t="s">
        <v>727</v>
      </c>
      <c r="B33" s="795"/>
      <c r="C33" s="8"/>
      <c r="D33" s="8"/>
      <c r="E33" s="9"/>
      <c r="F33" s="8"/>
    </row>
    <row r="34" spans="1:7">
      <c r="A34" s="459" t="s">
        <v>728</v>
      </c>
      <c r="B34" s="459"/>
      <c r="C34" s="8"/>
      <c r="D34" s="8"/>
      <c r="E34" s="9"/>
      <c r="F34" s="8"/>
    </row>
    <row r="35" spans="1:7">
      <c r="A35" s="654"/>
      <c r="B35" s="654"/>
      <c r="C35" s="8"/>
      <c r="D35" s="8"/>
      <c r="E35" s="9"/>
      <c r="F35" s="8"/>
    </row>
    <row r="36" spans="1:7">
      <c r="A36" s="8"/>
      <c r="B36" s="8"/>
      <c r="C36" s="8"/>
      <c r="D36" s="8"/>
      <c r="E36" s="9"/>
      <c r="F36" s="8"/>
    </row>
    <row r="37" spans="1:7">
      <c r="A37" s="8"/>
      <c r="B37" s="8"/>
      <c r="C37" s="8"/>
      <c r="D37" s="8"/>
      <c r="E37" s="9"/>
      <c r="F37" s="8"/>
    </row>
    <row r="38" spans="1:7">
      <c r="A38" s="654" t="s">
        <v>644</v>
      </c>
      <c r="B38" s="75"/>
      <c r="C38" s="654"/>
      <c r="D38" s="654"/>
      <c r="E38" s="655"/>
      <c r="F38" s="654"/>
      <c r="G38" s="75"/>
    </row>
    <row r="39" spans="1:7">
      <c r="A39" s="8"/>
      <c r="B39" s="8"/>
      <c r="C39" s="8"/>
      <c r="D39" s="8"/>
      <c r="E39" s="9"/>
      <c r="F39" s="8"/>
    </row>
    <row r="40" spans="1:7">
      <c r="A40" s="8"/>
      <c r="B40" s="8"/>
      <c r="C40" s="8"/>
      <c r="D40" s="8"/>
      <c r="E40" s="9"/>
      <c r="F40" s="8"/>
    </row>
    <row r="41" spans="1:7">
      <c r="A41" s="8"/>
      <c r="B41" s="8"/>
      <c r="C41" s="8"/>
      <c r="D41" s="8"/>
      <c r="E41" s="9"/>
      <c r="F41" s="8"/>
    </row>
    <row r="42" spans="1:7">
      <c r="A42" s="8"/>
      <c r="B42" s="8"/>
      <c r="C42" s="8"/>
      <c r="D42" s="8"/>
      <c r="E42" s="9"/>
      <c r="F42" s="8"/>
    </row>
    <row r="43" spans="1:7">
      <c r="A43" s="8"/>
      <c r="B43" s="8"/>
      <c r="C43" s="8"/>
      <c r="D43" s="8"/>
      <c r="E43" s="9"/>
      <c r="F43" s="8"/>
    </row>
    <row r="44" spans="1:7">
      <c r="A44" s="8"/>
      <c r="B44" s="8"/>
      <c r="C44" s="8"/>
      <c r="D44" s="8"/>
      <c r="E44" s="9"/>
      <c r="F44" s="8"/>
      <c r="G44" s="82"/>
    </row>
    <row r="45" spans="1:7" ht="28.5">
      <c r="A45" s="8"/>
      <c r="B45" s="8"/>
      <c r="C45" s="8"/>
      <c r="D45" s="83"/>
      <c r="E45" s="9"/>
      <c r="F45" s="8"/>
    </row>
    <row r="46" spans="1:7">
      <c r="A46" s="8"/>
      <c r="B46" s="8"/>
      <c r="C46" s="8"/>
      <c r="D46" s="8"/>
      <c r="E46" s="9"/>
      <c r="F46" s="8"/>
    </row>
    <row r="47" spans="1:7">
      <c r="A47" s="8"/>
      <c r="B47" s="8"/>
      <c r="C47" s="8"/>
      <c r="D47" s="8"/>
      <c r="E47" s="9"/>
      <c r="F47" s="8"/>
    </row>
    <row r="48" spans="1:7">
      <c r="A48" s="8"/>
      <c r="B48" s="8"/>
      <c r="C48" s="8"/>
      <c r="D48" s="8"/>
      <c r="E48" s="9"/>
      <c r="F48" s="8"/>
    </row>
    <row r="49" spans="1:6">
      <c r="A49" s="8"/>
      <c r="B49" s="8"/>
      <c r="C49" s="8"/>
      <c r="D49" s="8"/>
      <c r="E49" s="9"/>
      <c r="F49" s="8"/>
    </row>
    <row r="50" spans="1:6">
      <c r="A50" s="8"/>
      <c r="B50" s="8"/>
      <c r="C50" s="8"/>
      <c r="D50" s="8"/>
      <c r="E50" s="9"/>
      <c r="F50" s="8"/>
    </row>
  </sheetData>
  <customSheetViews>
    <customSheetView guid="{00BB8FC3-0B7F-4485-B1CD-FF164EC3970C}" fitToPage="1">
      <selection activeCell="E33" sqref="E33"/>
      <pageMargins left="0.7" right="0.7" top="0.78740157499999996" bottom="0.78740157499999996" header="0.3" footer="0.3"/>
      <pageSetup paperSize="9" orientation="portrait" r:id="rId1"/>
    </customSheetView>
    <customSheetView guid="{5DDDE19F-F10F-4514-A83C-F71CDD7BE512}" fitToPage="1">
      <selection activeCell="F26" sqref="F26"/>
      <pageMargins left="0.7" right="0.7" top="0.78740157499999996" bottom="0.78740157499999996" header="0.3" footer="0.3"/>
      <pageSetup paperSize="9" orientation="portrait" r:id="rId2"/>
    </customSheetView>
    <customSheetView guid="{9A6D0F5E-68D7-4772-8712-9975EE0A4B2C}" fitToPage="1">
      <selection activeCell="B19" sqref="B19"/>
      <pageMargins left="0.7" right="0.7" top="0.78740157499999996" bottom="0.78740157499999996" header="0.3" footer="0.3"/>
      <pageSetup paperSize="9" orientation="portrait" r:id="rId3"/>
    </customSheetView>
  </customSheetViews>
  <mergeCells count="14">
    <mergeCell ref="A29:G29"/>
    <mergeCell ref="A33:B33"/>
    <mergeCell ref="A1:H1"/>
    <mergeCell ref="A19:G19"/>
    <mergeCell ref="A20:G20"/>
    <mergeCell ref="A21:G21"/>
    <mergeCell ref="A22:G22"/>
    <mergeCell ref="A23:G23"/>
    <mergeCell ref="A24:G24"/>
    <mergeCell ref="A25:G25"/>
    <mergeCell ref="A26:G26"/>
    <mergeCell ref="A27:G27"/>
    <mergeCell ref="A28:G28"/>
    <mergeCell ref="A30:G30"/>
  </mergeCells>
  <pageMargins left="0.7" right="0.7" top="0.78740157499999996" bottom="0.78740157499999996" header="0.3" footer="0.3"/>
  <pageSetup paperSize="9" scale="93" orientation="portrait" r:id="rId4"/>
  <drawing r:id="rId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U84"/>
  <sheetViews>
    <sheetView topLeftCell="A55" zoomScaleNormal="100" workbookViewId="0">
      <selection activeCell="H72" sqref="H72"/>
    </sheetView>
  </sheetViews>
  <sheetFormatPr baseColWidth="10" defaultRowHeight="15"/>
  <cols>
    <col min="2" max="2" width="25.7109375" customWidth="1"/>
    <col min="3" max="3" width="12.42578125" customWidth="1"/>
    <col min="4" max="5" width="10.85546875"/>
    <col min="6" max="6" width="20.28515625" customWidth="1"/>
  </cols>
  <sheetData>
    <row r="1" spans="1:16" ht="39.75" customHeight="1">
      <c r="A1" s="660" t="s">
        <v>692</v>
      </c>
      <c r="B1" s="660"/>
      <c r="C1" s="10"/>
      <c r="D1" s="10"/>
      <c r="E1" s="160"/>
      <c r="F1" s="160"/>
    </row>
    <row r="2" spans="1:16" ht="15.75">
      <c r="A2" s="22" t="s">
        <v>417</v>
      </c>
      <c r="B2" s="22"/>
    </row>
    <row r="3" spans="1:16" s="160" customFormat="1" ht="15.75">
      <c r="A3" s="22"/>
      <c r="B3" s="22"/>
    </row>
    <row r="4" spans="1:16">
      <c r="A4" s="240"/>
      <c r="B4" s="240"/>
      <c r="C4" s="14" t="s">
        <v>25</v>
      </c>
      <c r="D4" s="196" t="s">
        <v>371</v>
      </c>
      <c r="E4" s="14" t="s">
        <v>68</v>
      </c>
      <c r="F4" s="579" t="s">
        <v>345</v>
      </c>
    </row>
    <row r="5" spans="1:16" s="160" customFormat="1">
      <c r="A5" s="240"/>
      <c r="B5" s="240"/>
      <c r="C5" s="14"/>
      <c r="D5" s="196"/>
      <c r="E5" s="14"/>
      <c r="F5" s="579"/>
    </row>
    <row r="6" spans="1:16">
      <c r="A6" s="5" t="s">
        <v>636</v>
      </c>
      <c r="B6" s="5"/>
      <c r="C6" s="544">
        <v>10106</v>
      </c>
      <c r="D6" s="547"/>
      <c r="E6" s="544">
        <v>210983</v>
      </c>
      <c r="F6" s="548">
        <f>C6/E6</f>
        <v>4.7899593806136037E-2</v>
      </c>
    </row>
    <row r="7" spans="1:16">
      <c r="A7" s="10"/>
      <c r="B7" s="10"/>
      <c r="C7" s="102"/>
      <c r="D7" s="545"/>
      <c r="E7" s="102"/>
      <c r="F7" s="546"/>
    </row>
    <row r="8" spans="1:16">
      <c r="A8" s="14" t="s">
        <v>200</v>
      </c>
      <c r="B8" s="240"/>
      <c r="C8" s="102"/>
      <c r="D8" s="545"/>
      <c r="E8" s="102"/>
      <c r="F8" s="546"/>
    </row>
    <row r="9" spans="1:16">
      <c r="A9" s="240" t="s">
        <v>193</v>
      </c>
      <c r="B9" s="240"/>
      <c r="C9" s="238">
        <v>1383</v>
      </c>
      <c r="D9" s="545">
        <f>C9/$C6</f>
        <v>0.13684939639817931</v>
      </c>
      <c r="E9" s="238">
        <v>13701</v>
      </c>
      <c r="F9" s="547">
        <f t="shared" ref="F9:F16" si="0">C9/E9</f>
        <v>0.10094153711407926</v>
      </c>
    </row>
    <row r="10" spans="1:16">
      <c r="A10" s="240" t="s">
        <v>201</v>
      </c>
      <c r="B10" s="240"/>
      <c r="C10" s="170">
        <v>795</v>
      </c>
      <c r="D10" s="545">
        <f>C10/C6</f>
        <v>7.8666138927369886E-2</v>
      </c>
      <c r="E10" s="238">
        <v>2612</v>
      </c>
      <c r="F10" s="547">
        <f t="shared" si="0"/>
        <v>0.30436447166921898</v>
      </c>
    </row>
    <row r="11" spans="1:16">
      <c r="A11" s="240" t="s">
        <v>194</v>
      </c>
      <c r="B11" s="240"/>
      <c r="C11" s="170">
        <v>577</v>
      </c>
      <c r="D11" s="545">
        <f>C11/C6</f>
        <v>5.7094795171185438E-2</v>
      </c>
      <c r="E11" s="238">
        <v>9816</v>
      </c>
      <c r="F11" s="547">
        <f t="shared" si="0"/>
        <v>5.878158109209454E-2</v>
      </c>
      <c r="J11" s="714"/>
      <c r="K11" s="714" t="s">
        <v>201</v>
      </c>
      <c r="L11" s="714" t="s">
        <v>369</v>
      </c>
      <c r="M11" s="714" t="s">
        <v>204</v>
      </c>
      <c r="N11" s="714" t="s">
        <v>368</v>
      </c>
      <c r="O11" s="714" t="s">
        <v>300</v>
      </c>
      <c r="P11" s="714"/>
    </row>
    <row r="12" spans="1:16">
      <c r="A12" s="240" t="s">
        <v>202</v>
      </c>
      <c r="B12" s="240"/>
      <c r="C12" s="170">
        <v>459</v>
      </c>
      <c r="D12" s="545">
        <f>C12/C6</f>
        <v>4.5418563229764494E-2</v>
      </c>
      <c r="E12" s="238">
        <v>7156</v>
      </c>
      <c r="F12" s="547">
        <f t="shared" si="0"/>
        <v>6.4141978759083285E-2</v>
      </c>
      <c r="J12" s="714">
        <v>2011</v>
      </c>
      <c r="K12" s="724">
        <v>8.1000000000000003E-2</v>
      </c>
      <c r="L12" s="724">
        <v>0.47299999999999998</v>
      </c>
      <c r="M12" s="724">
        <v>0.14000000000000001</v>
      </c>
      <c r="N12" s="724">
        <v>0.13100000000000001</v>
      </c>
      <c r="O12" s="724">
        <v>0.11700000000000001</v>
      </c>
      <c r="P12" s="714"/>
    </row>
    <row r="13" spans="1:16">
      <c r="A13" s="240" t="s">
        <v>203</v>
      </c>
      <c r="B13" s="240"/>
      <c r="C13" s="170">
        <v>473</v>
      </c>
      <c r="D13" s="545">
        <f>C13/C6</f>
        <v>4.680387888383139E-2</v>
      </c>
      <c r="E13" s="238">
        <v>18444</v>
      </c>
      <c r="F13" s="547">
        <f t="shared" si="0"/>
        <v>2.5645196269789634E-2</v>
      </c>
      <c r="J13" s="714">
        <v>2012</v>
      </c>
      <c r="K13" s="724">
        <v>8.2000000000000003E-2</v>
      </c>
      <c r="L13" s="724">
        <v>0.52300000000000002</v>
      </c>
      <c r="M13" s="724">
        <v>0.13700000000000001</v>
      </c>
      <c r="N13" s="724">
        <v>0.13200000000000001</v>
      </c>
      <c r="O13" s="724">
        <v>0.115</v>
      </c>
      <c r="P13" s="714"/>
    </row>
    <row r="14" spans="1:16" ht="17.25">
      <c r="A14" s="240" t="s">
        <v>630</v>
      </c>
      <c r="B14" s="240"/>
      <c r="C14" s="549">
        <v>6000</v>
      </c>
      <c r="D14" s="545">
        <f>C14/C6</f>
        <v>0.59370670888581045</v>
      </c>
      <c r="E14" s="238">
        <v>49896</v>
      </c>
      <c r="F14" s="547">
        <f t="shared" si="0"/>
        <v>0.12025012025012025</v>
      </c>
      <c r="J14" s="714">
        <v>2013</v>
      </c>
      <c r="K14" s="724">
        <v>8.1000000000000003E-2</v>
      </c>
      <c r="L14" s="724">
        <v>0.47</v>
      </c>
      <c r="M14" s="724">
        <v>0.13800000000000001</v>
      </c>
      <c r="N14" s="724">
        <v>0.13500000000000001</v>
      </c>
      <c r="O14" s="724">
        <v>0.113</v>
      </c>
      <c r="P14" s="714"/>
    </row>
    <row r="15" spans="1:16">
      <c r="A15" s="240" t="s">
        <v>520</v>
      </c>
      <c r="B15" s="240"/>
      <c r="C15" s="238">
        <v>1676</v>
      </c>
      <c r="D15" s="545">
        <f>C15/C6</f>
        <v>0.16584207401543638</v>
      </c>
      <c r="E15" s="238">
        <v>26161</v>
      </c>
      <c r="F15" s="547">
        <f t="shared" si="0"/>
        <v>6.4064829326096098E-2</v>
      </c>
      <c r="J15" s="714">
        <v>2014</v>
      </c>
      <c r="K15" s="724">
        <v>7.8E-2</v>
      </c>
      <c r="L15" s="724">
        <v>0.51100000000000001</v>
      </c>
      <c r="M15" s="724">
        <v>0.14799999999999999</v>
      </c>
      <c r="N15" s="724">
        <v>0.121</v>
      </c>
      <c r="O15" s="724">
        <v>9.7000000000000003E-2</v>
      </c>
      <c r="P15" s="714"/>
    </row>
    <row r="16" spans="1:16">
      <c r="A16" s="240" t="s">
        <v>370</v>
      </c>
      <c r="B16" s="240"/>
      <c r="C16" s="238">
        <v>0</v>
      </c>
      <c r="D16" s="545">
        <f>C16/C6</f>
        <v>0</v>
      </c>
      <c r="E16" s="243">
        <v>30324</v>
      </c>
      <c r="F16" s="547">
        <f t="shared" si="0"/>
        <v>0</v>
      </c>
      <c r="J16" s="714">
        <v>2015</v>
      </c>
      <c r="K16" s="724">
        <v>7.8E-2</v>
      </c>
      <c r="L16" s="724">
        <v>0.47599999999999998</v>
      </c>
      <c r="M16" s="724">
        <v>0.17100000000000001</v>
      </c>
      <c r="N16" s="724">
        <v>0.121</v>
      </c>
      <c r="O16" s="724">
        <v>0.105</v>
      </c>
      <c r="P16" s="714"/>
    </row>
    <row r="17" spans="1:20" ht="15.75">
      <c r="A17" s="63" t="s">
        <v>497</v>
      </c>
      <c r="J17" s="714">
        <v>2016</v>
      </c>
      <c r="K17" s="724">
        <v>7.4999999999999997E-2</v>
      </c>
      <c r="L17" s="724">
        <v>0.45500000000000002</v>
      </c>
      <c r="M17" s="724">
        <v>0.16800000000000001</v>
      </c>
      <c r="N17" s="724">
        <v>0.11699999999999999</v>
      </c>
      <c r="O17" s="724">
        <v>0.10800000000000001</v>
      </c>
      <c r="P17" s="714"/>
    </row>
    <row r="18" spans="1:20">
      <c r="J18" s="714">
        <v>2017</v>
      </c>
      <c r="K18" s="724">
        <v>7.8E-2</v>
      </c>
      <c r="L18" s="724">
        <v>0.63500000000000001</v>
      </c>
      <c r="M18" s="724">
        <v>0.16699999999999998</v>
      </c>
      <c r="N18" s="724">
        <v>0.12300000000000001</v>
      </c>
      <c r="O18" s="724">
        <v>0.11599999999999999</v>
      </c>
      <c r="P18" s="714"/>
    </row>
    <row r="19" spans="1:20">
      <c r="J19" s="714">
        <v>2018</v>
      </c>
      <c r="K19" s="724">
        <v>8.1000000000000003E-2</v>
      </c>
      <c r="L19" s="724">
        <v>0.61399999999999999</v>
      </c>
      <c r="M19" s="724">
        <v>0.16</v>
      </c>
      <c r="N19" s="724">
        <v>0.13100000000000001</v>
      </c>
      <c r="O19" s="724">
        <v>0.124</v>
      </c>
      <c r="P19" s="714"/>
    </row>
    <row r="20" spans="1:20">
      <c r="A20" s="460" t="s">
        <v>456</v>
      </c>
      <c r="B20" s="405"/>
      <c r="H20" s="107"/>
      <c r="I20" s="150"/>
      <c r="J20" s="714">
        <v>2019</v>
      </c>
      <c r="K20" s="724">
        <v>7.5999999999999998E-2</v>
      </c>
      <c r="L20" s="724">
        <v>0.63100000000000001</v>
      </c>
      <c r="M20" s="724">
        <v>0.158</v>
      </c>
      <c r="N20" s="724">
        <v>0.12300000000000001</v>
      </c>
      <c r="O20" s="724">
        <v>0.123</v>
      </c>
      <c r="P20" s="714"/>
    </row>
    <row r="21" spans="1:20">
      <c r="J21" s="714">
        <v>2020</v>
      </c>
      <c r="K21" s="724">
        <v>7.6999999999999999E-2</v>
      </c>
      <c r="L21" s="724">
        <v>0.61699999999999999</v>
      </c>
      <c r="M21" s="724">
        <v>0.156</v>
      </c>
      <c r="N21" s="724">
        <v>0.13100000000000001</v>
      </c>
      <c r="O21" s="724">
        <v>0.13</v>
      </c>
      <c r="P21" s="714"/>
    </row>
    <row r="22" spans="1:20">
      <c r="J22" s="714">
        <v>2021</v>
      </c>
      <c r="K22" s="724">
        <v>7.5999999999999998E-2</v>
      </c>
      <c r="L22" s="724">
        <v>0.627</v>
      </c>
      <c r="M22" s="724">
        <v>0.14899999999999999</v>
      </c>
      <c r="N22" s="724">
        <v>0.11599999999999999</v>
      </c>
      <c r="O22" s="724">
        <v>0.13600000000000001</v>
      </c>
      <c r="P22" s="714"/>
    </row>
    <row r="23" spans="1:20">
      <c r="J23" s="714">
        <v>2022</v>
      </c>
      <c r="K23" s="724">
        <v>7.5999999999999998E-2</v>
      </c>
      <c r="L23" s="724">
        <v>0.59399999999999997</v>
      </c>
      <c r="M23" s="724">
        <v>0.14899999999999999</v>
      </c>
      <c r="N23" s="724">
        <v>0.12300000000000001</v>
      </c>
      <c r="O23" s="724">
        <v>0.155</v>
      </c>
      <c r="P23" s="714"/>
    </row>
    <row r="24" spans="1:20" s="160" customFormat="1">
      <c r="J24" s="714">
        <v>2023</v>
      </c>
      <c r="K24" s="724">
        <v>7.9000000000000001E-2</v>
      </c>
      <c r="L24" s="724">
        <v>0.59399999999999997</v>
      </c>
      <c r="M24" s="724">
        <v>0.16600000000000001</v>
      </c>
      <c r="N24" s="724">
        <v>0.13699999999999998</v>
      </c>
      <c r="O24" s="724">
        <v>0.14899999999999999</v>
      </c>
      <c r="P24" s="714"/>
    </row>
    <row r="32" spans="1:20">
      <c r="N32" s="745" t="s">
        <v>0</v>
      </c>
      <c r="O32" s="191"/>
      <c r="P32" s="191"/>
      <c r="Q32" s="191"/>
      <c r="R32" s="191"/>
      <c r="S32" s="191"/>
      <c r="T32" s="191"/>
    </row>
    <row r="42" spans="1:21">
      <c r="A42" s="75" t="s">
        <v>434</v>
      </c>
      <c r="B42" s="75"/>
    </row>
    <row r="46" spans="1:21" ht="15.75">
      <c r="A46" s="144" t="s">
        <v>367</v>
      </c>
      <c r="B46" s="22"/>
      <c r="C46" s="22"/>
      <c r="D46" s="22"/>
      <c r="E46" s="22"/>
      <c r="L46" s="770" t="s">
        <v>367</v>
      </c>
      <c r="M46" s="773"/>
      <c r="N46" s="773"/>
      <c r="O46" s="773"/>
      <c r="P46" s="773"/>
      <c r="Q46" s="638"/>
      <c r="R46" s="638"/>
      <c r="S46" s="638"/>
      <c r="T46" s="638"/>
      <c r="U46" s="638"/>
    </row>
    <row r="47" spans="1:21" ht="15.75">
      <c r="A47" s="227" t="s">
        <v>693</v>
      </c>
      <c r="B47" s="22"/>
      <c r="C47" s="22"/>
      <c r="D47" s="22" t="s">
        <v>0</v>
      </c>
      <c r="E47" s="125" t="s">
        <v>0</v>
      </c>
      <c r="L47" s="773" t="s">
        <v>693</v>
      </c>
      <c r="M47" s="773"/>
      <c r="N47" s="773"/>
      <c r="O47" s="773" t="s">
        <v>0</v>
      </c>
      <c r="P47" s="773" t="s">
        <v>0</v>
      </c>
      <c r="Q47" s="638"/>
      <c r="R47" s="638"/>
      <c r="S47" s="638"/>
      <c r="T47" s="638"/>
      <c r="U47" s="638"/>
    </row>
    <row r="48" spans="1:21">
      <c r="L48" s="638"/>
      <c r="M48" s="638"/>
      <c r="N48" s="638"/>
      <c r="O48" s="638"/>
      <c r="P48" s="638"/>
      <c r="Q48" s="638"/>
      <c r="R48" s="638"/>
      <c r="S48" s="638"/>
      <c r="T48" s="638"/>
      <c r="U48" s="638"/>
    </row>
    <row r="49" spans="1:21">
      <c r="A49" s="170"/>
      <c r="B49" s="170"/>
      <c r="C49" s="196">
        <v>2013</v>
      </c>
      <c r="D49" s="196">
        <v>2014</v>
      </c>
      <c r="E49" s="199">
        <v>2016</v>
      </c>
      <c r="F49" s="199">
        <v>2018</v>
      </c>
      <c r="G49" s="199">
        <v>2020</v>
      </c>
      <c r="H49" s="199">
        <v>2021</v>
      </c>
      <c r="I49" s="199">
        <v>2022</v>
      </c>
      <c r="J49" s="199">
        <v>2023</v>
      </c>
      <c r="L49" s="775"/>
      <c r="M49" s="775"/>
      <c r="N49" s="777">
        <v>2013</v>
      </c>
      <c r="O49" s="777">
        <v>2014</v>
      </c>
      <c r="P49" s="777">
        <v>2016</v>
      </c>
      <c r="Q49" s="777">
        <v>2018</v>
      </c>
      <c r="R49" s="777">
        <v>2020</v>
      </c>
      <c r="S49" s="777">
        <v>2021</v>
      </c>
      <c r="T49" s="777">
        <v>2022</v>
      </c>
      <c r="U49" s="777">
        <v>2023</v>
      </c>
    </row>
    <row r="50" spans="1:21" s="160" customFormat="1">
      <c r="L50" s="775"/>
      <c r="M50" s="775"/>
      <c r="N50" s="777"/>
      <c r="O50" s="777"/>
      <c r="P50" s="777"/>
      <c r="Q50" s="777"/>
      <c r="R50" s="777"/>
      <c r="S50" s="777"/>
      <c r="T50" s="777"/>
      <c r="U50" s="638"/>
    </row>
    <row r="51" spans="1:21">
      <c r="A51" s="170" t="s">
        <v>197</v>
      </c>
      <c r="B51" s="170"/>
      <c r="C51" s="238">
        <v>25347</v>
      </c>
      <c r="D51" s="238">
        <v>25142</v>
      </c>
      <c r="E51" s="242">
        <v>25082</v>
      </c>
      <c r="F51" s="242">
        <v>27867</v>
      </c>
      <c r="G51" s="242">
        <v>24203</v>
      </c>
      <c r="H51" s="242">
        <v>29075</v>
      </c>
      <c r="I51" s="242">
        <v>35404</v>
      </c>
      <c r="J51" s="242">
        <v>34099</v>
      </c>
      <c r="L51" s="775" t="s">
        <v>191</v>
      </c>
      <c r="M51" s="775"/>
      <c r="N51" s="778">
        <v>7951</v>
      </c>
      <c r="O51" s="778">
        <v>9111</v>
      </c>
      <c r="P51" s="749">
        <v>10056</v>
      </c>
      <c r="Q51" s="749">
        <v>11298</v>
      </c>
      <c r="R51" s="749">
        <v>9488</v>
      </c>
      <c r="S51" s="749">
        <v>10286</v>
      </c>
      <c r="T51" s="749">
        <v>12081</v>
      </c>
      <c r="U51" s="749">
        <v>12756</v>
      </c>
    </row>
    <row r="52" spans="1:21">
      <c r="A52" s="170" t="s">
        <v>190</v>
      </c>
      <c r="B52" s="170"/>
      <c r="C52" s="238">
        <v>19371</v>
      </c>
      <c r="D52" s="238">
        <v>19334</v>
      </c>
      <c r="E52" s="164">
        <v>18530</v>
      </c>
      <c r="F52" s="164">
        <v>22410</v>
      </c>
      <c r="G52" s="164">
        <v>19909</v>
      </c>
      <c r="H52" s="164">
        <v>23351</v>
      </c>
      <c r="I52" s="164">
        <v>26130</v>
      </c>
      <c r="J52" s="164">
        <v>25498</v>
      </c>
      <c r="L52" s="775" t="s">
        <v>187</v>
      </c>
      <c r="M52" s="775"/>
      <c r="N52" s="778">
        <v>11189</v>
      </c>
      <c r="O52" s="778">
        <v>10227</v>
      </c>
      <c r="P52" s="749">
        <v>10279</v>
      </c>
      <c r="Q52" s="749">
        <v>11498</v>
      </c>
      <c r="R52" s="749">
        <v>9558</v>
      </c>
      <c r="S52" s="749">
        <v>11332</v>
      </c>
      <c r="T52" s="749">
        <v>12570</v>
      </c>
      <c r="U52" s="749">
        <v>13100</v>
      </c>
    </row>
    <row r="53" spans="1:21">
      <c r="A53" s="457" t="s">
        <v>25</v>
      </c>
      <c r="B53" s="457"/>
      <c r="C53" s="521">
        <v>18972</v>
      </c>
      <c r="D53" s="521">
        <v>20901</v>
      </c>
      <c r="E53" s="464">
        <v>20912</v>
      </c>
      <c r="F53" s="464">
        <v>21027</v>
      </c>
      <c r="G53" s="464">
        <v>20322</v>
      </c>
      <c r="H53" s="464">
        <v>23775</v>
      </c>
      <c r="I53" s="464">
        <v>26206</v>
      </c>
      <c r="J53" s="464">
        <v>24743</v>
      </c>
      <c r="L53" s="775" t="s">
        <v>185</v>
      </c>
      <c r="M53" s="775"/>
      <c r="N53" s="778">
        <v>12693</v>
      </c>
      <c r="O53" s="778">
        <v>12439</v>
      </c>
      <c r="P53" s="749">
        <v>12755</v>
      </c>
      <c r="Q53" s="749">
        <v>13937</v>
      </c>
      <c r="R53" s="749">
        <v>13535</v>
      </c>
      <c r="S53" s="749">
        <v>15412</v>
      </c>
      <c r="T53" s="749">
        <v>17546</v>
      </c>
      <c r="U53" s="749">
        <v>16888</v>
      </c>
    </row>
    <row r="54" spans="1:21">
      <c r="A54" s="170" t="s">
        <v>186</v>
      </c>
      <c r="B54" s="170"/>
      <c r="C54" s="238">
        <v>11590</v>
      </c>
      <c r="D54" s="238">
        <v>11566</v>
      </c>
      <c r="E54" s="164">
        <v>13379</v>
      </c>
      <c r="F54" s="164">
        <v>16587</v>
      </c>
      <c r="G54" s="164">
        <v>16762</v>
      </c>
      <c r="H54" s="164">
        <v>19294</v>
      </c>
      <c r="I54" s="164">
        <v>24372</v>
      </c>
      <c r="J54" s="164">
        <v>23423</v>
      </c>
      <c r="L54" s="775" t="s">
        <v>184</v>
      </c>
      <c r="M54" s="775"/>
      <c r="N54" s="778">
        <v>13066</v>
      </c>
      <c r="O54" s="778">
        <v>10378</v>
      </c>
      <c r="P54" s="749">
        <v>10311</v>
      </c>
      <c r="Q54" s="749">
        <v>16157</v>
      </c>
      <c r="R54" s="749">
        <v>12551</v>
      </c>
      <c r="S54" s="749">
        <v>24675</v>
      </c>
      <c r="T54" s="749">
        <v>35643</v>
      </c>
      <c r="U54" s="749">
        <v>19698</v>
      </c>
    </row>
    <row r="55" spans="1:21">
      <c r="A55" s="170" t="s">
        <v>198</v>
      </c>
      <c r="B55" s="170"/>
      <c r="C55" s="238">
        <v>18889</v>
      </c>
      <c r="D55" s="238">
        <v>17943</v>
      </c>
      <c r="E55" s="164">
        <v>15889</v>
      </c>
      <c r="F55" s="164">
        <v>18813</v>
      </c>
      <c r="G55" s="164">
        <v>15385</v>
      </c>
      <c r="H55" s="164">
        <v>18862</v>
      </c>
      <c r="I55" s="164">
        <v>22356</v>
      </c>
      <c r="J55" s="164">
        <v>21494</v>
      </c>
      <c r="L55" s="775" t="s">
        <v>198</v>
      </c>
      <c r="M55" s="775"/>
      <c r="N55" s="778">
        <v>19751</v>
      </c>
      <c r="O55" s="778">
        <v>17943</v>
      </c>
      <c r="P55" s="749">
        <v>15889</v>
      </c>
      <c r="Q55" s="749">
        <v>18813</v>
      </c>
      <c r="R55" s="749">
        <v>15385</v>
      </c>
      <c r="S55" s="749">
        <v>18862</v>
      </c>
      <c r="T55" s="749">
        <v>22356</v>
      </c>
      <c r="U55" s="749">
        <v>21494</v>
      </c>
    </row>
    <row r="56" spans="1:21">
      <c r="A56" s="170" t="s">
        <v>184</v>
      </c>
      <c r="B56" s="170"/>
      <c r="C56" s="238">
        <v>12350</v>
      </c>
      <c r="D56" s="238">
        <v>10378</v>
      </c>
      <c r="E56" s="164">
        <v>10311</v>
      </c>
      <c r="F56" s="164">
        <v>16157</v>
      </c>
      <c r="G56" s="164">
        <v>12551</v>
      </c>
      <c r="H56" s="164">
        <v>24675</v>
      </c>
      <c r="I56" s="164">
        <v>35643</v>
      </c>
      <c r="J56" s="164">
        <v>19698</v>
      </c>
      <c r="L56" s="775" t="s">
        <v>186</v>
      </c>
      <c r="M56" s="775"/>
      <c r="N56" s="778">
        <v>11953</v>
      </c>
      <c r="O56" s="778">
        <v>11566</v>
      </c>
      <c r="P56" s="749">
        <v>13379</v>
      </c>
      <c r="Q56" s="749">
        <v>16587</v>
      </c>
      <c r="R56" s="749">
        <v>16762</v>
      </c>
      <c r="S56" s="749">
        <v>19294</v>
      </c>
      <c r="T56" s="749">
        <v>24372</v>
      </c>
      <c r="U56" s="749">
        <v>23423</v>
      </c>
    </row>
    <row r="57" spans="1:21">
      <c r="A57" s="170" t="s">
        <v>185</v>
      </c>
      <c r="B57" s="170"/>
      <c r="C57" s="238">
        <v>12279</v>
      </c>
      <c r="D57" s="238">
        <v>12439</v>
      </c>
      <c r="E57" s="164">
        <v>12755</v>
      </c>
      <c r="F57" s="164">
        <v>13937</v>
      </c>
      <c r="G57" s="164">
        <v>13535</v>
      </c>
      <c r="H57" s="164">
        <v>15412</v>
      </c>
      <c r="I57" s="164">
        <v>17546</v>
      </c>
      <c r="J57" s="164">
        <v>16888</v>
      </c>
      <c r="L57" s="777" t="s">
        <v>25</v>
      </c>
      <c r="M57" s="777"/>
      <c r="N57" s="779">
        <v>18900</v>
      </c>
      <c r="O57" s="779">
        <v>20901</v>
      </c>
      <c r="P57" s="751">
        <v>20912</v>
      </c>
      <c r="Q57" s="751">
        <v>21027</v>
      </c>
      <c r="R57" s="751">
        <v>20322</v>
      </c>
      <c r="S57" s="751">
        <v>23775</v>
      </c>
      <c r="T57" s="751">
        <v>26206</v>
      </c>
      <c r="U57" s="751">
        <v>24743</v>
      </c>
    </row>
    <row r="58" spans="1:21">
      <c r="A58" s="170" t="s">
        <v>187</v>
      </c>
      <c r="B58" s="170"/>
      <c r="C58" s="238">
        <v>10775</v>
      </c>
      <c r="D58" s="238">
        <v>10227</v>
      </c>
      <c r="E58" s="164">
        <v>10279</v>
      </c>
      <c r="F58" s="164">
        <v>11498</v>
      </c>
      <c r="G58" s="164">
        <v>9558</v>
      </c>
      <c r="H58" s="164">
        <v>11332</v>
      </c>
      <c r="I58" s="164">
        <v>12570</v>
      </c>
      <c r="J58" s="164">
        <v>13100</v>
      </c>
      <c r="L58" s="775" t="s">
        <v>190</v>
      </c>
      <c r="M58" s="775"/>
      <c r="N58" s="778">
        <v>18970</v>
      </c>
      <c r="O58" s="778">
        <v>19334</v>
      </c>
      <c r="P58" s="749">
        <v>18530</v>
      </c>
      <c r="Q58" s="749">
        <v>22410</v>
      </c>
      <c r="R58" s="749">
        <v>19909</v>
      </c>
      <c r="S58" s="749">
        <v>23351</v>
      </c>
      <c r="T58" s="749">
        <v>26130</v>
      </c>
      <c r="U58" s="749">
        <v>25498</v>
      </c>
    </row>
    <row r="59" spans="1:21">
      <c r="A59" s="170" t="s">
        <v>191</v>
      </c>
      <c r="B59" s="170"/>
      <c r="C59" s="238">
        <v>8865</v>
      </c>
      <c r="D59" s="238">
        <v>9111</v>
      </c>
      <c r="E59" s="164">
        <v>10056</v>
      </c>
      <c r="F59" s="164">
        <v>11298</v>
      </c>
      <c r="G59" s="164">
        <v>9488</v>
      </c>
      <c r="H59" s="164">
        <v>10286</v>
      </c>
      <c r="I59" s="164">
        <v>12081</v>
      </c>
      <c r="J59" s="164">
        <v>12756</v>
      </c>
      <c r="L59" s="775" t="s">
        <v>197</v>
      </c>
      <c r="M59" s="775"/>
      <c r="N59" s="778">
        <v>25338</v>
      </c>
      <c r="O59" s="778">
        <v>25142</v>
      </c>
      <c r="P59" s="778">
        <v>25082</v>
      </c>
      <c r="Q59" s="778">
        <v>27867</v>
      </c>
      <c r="R59" s="778">
        <v>24203</v>
      </c>
      <c r="S59" s="778">
        <v>29075</v>
      </c>
      <c r="T59" s="778">
        <v>35404</v>
      </c>
      <c r="U59" s="749">
        <v>34099</v>
      </c>
    </row>
    <row r="60" spans="1:21">
      <c r="A60" s="196" t="s">
        <v>68</v>
      </c>
      <c r="B60" s="170"/>
      <c r="C60" s="544">
        <v>16804</v>
      </c>
      <c r="D60" s="544">
        <v>16236</v>
      </c>
      <c r="E60" s="237">
        <v>15864</v>
      </c>
      <c r="F60" s="237">
        <v>19098</v>
      </c>
      <c r="G60" s="237">
        <v>16390</v>
      </c>
      <c r="H60" s="237">
        <v>21646</v>
      </c>
      <c r="I60" s="237">
        <v>26875</v>
      </c>
      <c r="J60" s="237">
        <v>22828</v>
      </c>
      <c r="L60" s="777" t="s">
        <v>68</v>
      </c>
      <c r="M60" s="775"/>
      <c r="N60" s="779">
        <v>17119</v>
      </c>
      <c r="O60" s="779">
        <v>16236</v>
      </c>
      <c r="P60" s="751">
        <v>15864</v>
      </c>
      <c r="Q60" s="751">
        <v>19098</v>
      </c>
      <c r="R60" s="751">
        <v>16390</v>
      </c>
      <c r="S60" s="751">
        <v>21646</v>
      </c>
      <c r="T60" s="751">
        <v>26875</v>
      </c>
      <c r="U60" s="751">
        <v>22828</v>
      </c>
    </row>
    <row r="61" spans="1:21" s="160" customFormat="1"/>
    <row r="62" spans="1:21" ht="15.75">
      <c r="A62" s="457" t="s">
        <v>457</v>
      </c>
      <c r="B62" s="456"/>
      <c r="C62" s="456"/>
      <c r="I62" s="770" t="s">
        <v>457</v>
      </c>
      <c r="J62" s="714"/>
      <c r="K62" s="714"/>
      <c r="L62" s="714"/>
    </row>
    <row r="69" spans="1:21">
      <c r="Q69" s="232"/>
      <c r="R69" s="232"/>
      <c r="S69" s="232"/>
      <c r="T69" s="232"/>
      <c r="U69" s="232"/>
    </row>
    <row r="79" spans="1:21" s="160" customFormat="1"/>
    <row r="80" spans="1:21" ht="16.5">
      <c r="A80" s="205" t="s">
        <v>434</v>
      </c>
      <c r="B80" s="32"/>
    </row>
    <row r="81" spans="1:12">
      <c r="I81" t="s">
        <v>0</v>
      </c>
    </row>
    <row r="82" spans="1:12">
      <c r="I82" s="720" t="s">
        <v>499</v>
      </c>
      <c r="J82" s="720"/>
      <c r="K82" s="720"/>
      <c r="L82" s="720"/>
    </row>
    <row r="84" spans="1:12">
      <c r="A84" s="75" t="s">
        <v>334</v>
      </c>
      <c r="B84" s="75"/>
    </row>
  </sheetData>
  <sortState xmlns:xlrd2="http://schemas.microsoft.com/office/spreadsheetml/2017/richdata2" ref="A51:G60">
    <sortCondition descending="1" ref="F51"/>
  </sortState>
  <customSheetViews>
    <customSheetView guid="{00BB8FC3-0B7F-4485-B1CD-FF164EC3970C}" fitToPage="1">
      <selection activeCell="C8" sqref="C8"/>
      <pageMargins left="0.7" right="0.7" top="0.78740157499999996" bottom="0.78740157499999996" header="0.3" footer="0.3"/>
      <pageSetup scale="41" orientation="portrait" r:id="rId1"/>
    </customSheetView>
    <customSheetView guid="{5DDDE19F-F10F-4514-A83C-F71CDD7BE512}" showPageBreaks="1" fitToPage="1">
      <selection activeCell="C8" sqref="C8"/>
      <pageMargins left="0.7" right="0.7" top="0.78740157499999996" bottom="0.78740157499999996" header="0.3" footer="0.3"/>
      <pageSetup scale="41" orientation="portrait" r:id="rId2"/>
    </customSheetView>
    <customSheetView guid="{9A6D0F5E-68D7-4772-8712-9975EE0A4B2C}" fitToPage="1">
      <selection activeCell="C8" sqref="C8"/>
      <pageMargins left="0.7" right="0.7" top="0.78740157499999996" bottom="0.78740157499999996" header="0.3" footer="0.3"/>
      <pageSetup scale="41" orientation="portrait" r:id="rId3"/>
    </customSheetView>
  </customSheetViews>
  <pageMargins left="0.7" right="0.7" top="0.78740157499999996" bottom="0.78740157499999996" header="0.3" footer="0.3"/>
  <pageSetup paperSize="9" scale="40" orientation="landscape" r:id="rId4"/>
  <drawing r:id="rId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N38"/>
  <sheetViews>
    <sheetView topLeftCell="A11" workbookViewId="0">
      <selection activeCell="G42" sqref="G42"/>
    </sheetView>
  </sheetViews>
  <sheetFormatPr baseColWidth="10" defaultRowHeight="15"/>
  <cols>
    <col min="1" max="1" width="15.28515625" customWidth="1"/>
    <col min="2" max="6" width="10.85546875"/>
    <col min="7" max="7" width="16.28515625" bestFit="1" customWidth="1"/>
    <col min="8" max="9" width="10.85546875"/>
    <col min="10" max="10" width="14.140625" customWidth="1"/>
  </cols>
  <sheetData>
    <row r="1" spans="1:14" ht="39.75" customHeight="1">
      <c r="A1" s="660" t="s">
        <v>441</v>
      </c>
      <c r="B1" s="660"/>
      <c r="C1" s="10"/>
      <c r="D1" s="10"/>
      <c r="E1" s="10"/>
      <c r="F1" s="10"/>
      <c r="G1" s="10"/>
    </row>
    <row r="2" spans="1:14" ht="15" customHeight="1">
      <c r="N2" s="160"/>
    </row>
    <row r="3" spans="1:14" ht="18">
      <c r="A3" s="26" t="s">
        <v>441</v>
      </c>
      <c r="B3" s="160"/>
      <c r="C3" s="160"/>
      <c r="D3" s="160"/>
      <c r="E3" s="160"/>
      <c r="F3" s="160"/>
      <c r="G3" s="160"/>
      <c r="N3" s="160"/>
    </row>
    <row r="4" spans="1:14">
      <c r="A4" s="160"/>
      <c r="B4" s="160"/>
      <c r="C4" s="160"/>
      <c r="D4" s="160"/>
      <c r="N4" s="5"/>
    </row>
    <row r="5" spans="1:14">
      <c r="A5" s="5" t="s">
        <v>355</v>
      </c>
      <c r="B5" s="5" t="s">
        <v>442</v>
      </c>
      <c r="C5" s="5"/>
      <c r="D5" s="5" t="s">
        <v>405</v>
      </c>
      <c r="N5" s="5"/>
    </row>
    <row r="6" spans="1:14">
      <c r="A6" s="5"/>
      <c r="B6" s="5">
        <v>2023</v>
      </c>
      <c r="C6" s="5"/>
      <c r="D6" s="5">
        <v>2023</v>
      </c>
      <c r="N6" s="160"/>
    </row>
    <row r="7" spans="1:14">
      <c r="A7" s="160"/>
      <c r="B7" s="160"/>
      <c r="C7" s="160"/>
      <c r="D7" s="160"/>
      <c r="I7" s="714" t="s">
        <v>197</v>
      </c>
      <c r="J7" s="716">
        <v>77</v>
      </c>
      <c r="K7" s="714"/>
      <c r="N7" s="6"/>
    </row>
    <row r="8" spans="1:14">
      <c r="A8" s="143" t="s">
        <v>197</v>
      </c>
      <c r="B8" s="164">
        <v>11801</v>
      </c>
      <c r="C8" s="164"/>
      <c r="D8" s="164">
        <v>77</v>
      </c>
      <c r="I8" s="736" t="s">
        <v>25</v>
      </c>
      <c r="J8" s="737">
        <v>75</v>
      </c>
      <c r="K8" s="736"/>
      <c r="N8" s="6"/>
    </row>
    <row r="9" spans="1:14">
      <c r="A9" s="436" t="s">
        <v>25</v>
      </c>
      <c r="B9" s="464">
        <v>30815</v>
      </c>
      <c r="C9" s="464"/>
      <c r="D9" s="464">
        <v>75</v>
      </c>
      <c r="I9" s="714" t="s">
        <v>190</v>
      </c>
      <c r="J9" s="716">
        <v>62</v>
      </c>
      <c r="K9" s="714"/>
      <c r="N9" s="6"/>
    </row>
    <row r="10" spans="1:14">
      <c r="A10" s="143" t="s">
        <v>190</v>
      </c>
      <c r="B10" s="164">
        <v>77980</v>
      </c>
      <c r="C10" s="164"/>
      <c r="D10" s="164">
        <v>62</v>
      </c>
      <c r="I10" s="714" t="s">
        <v>186</v>
      </c>
      <c r="J10" s="716">
        <v>46</v>
      </c>
      <c r="K10" s="714"/>
      <c r="N10" s="6"/>
    </row>
    <row r="11" spans="1:14">
      <c r="A11" s="143" t="s">
        <v>186</v>
      </c>
      <c r="B11" s="164">
        <v>26057</v>
      </c>
      <c r="C11" s="164"/>
      <c r="D11" s="164">
        <v>46</v>
      </c>
      <c r="I11" s="714" t="s">
        <v>185</v>
      </c>
      <c r="J11" s="716">
        <v>44</v>
      </c>
      <c r="K11" s="714"/>
      <c r="N11" s="6"/>
    </row>
    <row r="12" spans="1:14">
      <c r="A12" s="143" t="s">
        <v>185</v>
      </c>
      <c r="B12" s="164">
        <v>34142</v>
      </c>
      <c r="C12" s="164"/>
      <c r="D12" s="164">
        <v>44</v>
      </c>
      <c r="I12" s="714" t="s">
        <v>198</v>
      </c>
      <c r="J12" s="716">
        <v>40</v>
      </c>
      <c r="K12" s="714"/>
      <c r="N12" s="6"/>
    </row>
    <row r="13" spans="1:14">
      <c r="A13" s="143" t="s">
        <v>198</v>
      </c>
      <c r="B13" s="164">
        <v>69538</v>
      </c>
      <c r="C13" s="164"/>
      <c r="D13" s="164">
        <v>40</v>
      </c>
      <c r="I13" s="714" t="s">
        <v>187</v>
      </c>
      <c r="J13" s="716">
        <v>31</v>
      </c>
      <c r="K13" s="714"/>
      <c r="N13" s="6"/>
    </row>
    <row r="14" spans="1:14">
      <c r="A14" s="143" t="s">
        <v>187</v>
      </c>
      <c r="B14" s="164">
        <v>17516</v>
      </c>
      <c r="C14" s="164"/>
      <c r="D14" s="164">
        <v>31</v>
      </c>
      <c r="I14" s="714" t="s">
        <v>191</v>
      </c>
      <c r="J14" s="716">
        <v>24</v>
      </c>
      <c r="K14" s="714"/>
      <c r="N14" s="6"/>
    </row>
    <row r="15" spans="1:14">
      <c r="A15" s="143" t="s">
        <v>191</v>
      </c>
      <c r="B15" s="164">
        <v>7115</v>
      </c>
      <c r="C15" s="164"/>
      <c r="D15" s="164">
        <v>24</v>
      </c>
      <c r="I15" s="714" t="s">
        <v>184</v>
      </c>
      <c r="J15" s="716">
        <v>17</v>
      </c>
      <c r="K15" s="714"/>
      <c r="N15" s="6"/>
    </row>
    <row r="16" spans="1:14">
      <c r="A16" s="143" t="s">
        <v>184</v>
      </c>
      <c r="B16" s="164">
        <v>34446</v>
      </c>
      <c r="C16" s="164"/>
      <c r="D16" s="164">
        <v>17</v>
      </c>
      <c r="E16" s="6"/>
      <c r="F16" s="6"/>
    </row>
    <row r="18" spans="10:14">
      <c r="J18" s="731" t="s">
        <v>355</v>
      </c>
      <c r="K18" s="731" t="s">
        <v>442</v>
      </c>
      <c r="L18" s="731"/>
      <c r="M18" s="731" t="s">
        <v>405</v>
      </c>
      <c r="N18" s="731"/>
    </row>
    <row r="19" spans="10:14">
      <c r="J19" s="731"/>
      <c r="K19" s="731">
        <v>2023</v>
      </c>
      <c r="L19" s="731"/>
      <c r="M19" s="731">
        <v>2023</v>
      </c>
      <c r="N19" s="731"/>
    </row>
    <row r="20" spans="10:14">
      <c r="J20" s="714"/>
      <c r="K20" s="714"/>
      <c r="L20" s="714"/>
      <c r="M20" s="714"/>
      <c r="N20" s="714"/>
    </row>
    <row r="21" spans="10:14">
      <c r="J21" s="714" t="s">
        <v>191</v>
      </c>
      <c r="K21" s="716">
        <v>7115</v>
      </c>
      <c r="L21" s="716"/>
      <c r="M21" s="716">
        <v>24</v>
      </c>
      <c r="N21" s="716"/>
    </row>
    <row r="22" spans="10:14">
      <c r="J22" s="714" t="s">
        <v>186</v>
      </c>
      <c r="K22" s="716">
        <v>26057</v>
      </c>
      <c r="L22" s="716"/>
      <c r="M22" s="716">
        <v>46</v>
      </c>
      <c r="N22" s="716"/>
    </row>
    <row r="23" spans="10:14">
      <c r="J23" s="714" t="s">
        <v>198</v>
      </c>
      <c r="K23" s="716">
        <v>69538</v>
      </c>
      <c r="L23" s="716"/>
      <c r="M23" s="716">
        <v>40</v>
      </c>
      <c r="N23" s="716"/>
    </row>
    <row r="24" spans="10:14">
      <c r="J24" s="714" t="s">
        <v>197</v>
      </c>
      <c r="K24" s="716">
        <v>117801</v>
      </c>
      <c r="L24" s="716"/>
      <c r="M24" s="716">
        <v>77</v>
      </c>
      <c r="N24" s="716"/>
    </row>
    <row r="25" spans="10:14">
      <c r="J25" s="714" t="s">
        <v>187</v>
      </c>
      <c r="K25" s="716">
        <v>17516</v>
      </c>
      <c r="L25" s="716"/>
      <c r="M25" s="716">
        <v>31</v>
      </c>
      <c r="N25" s="716"/>
    </row>
    <row r="26" spans="10:14">
      <c r="J26" s="714" t="s">
        <v>190</v>
      </c>
      <c r="K26" s="716">
        <v>77980</v>
      </c>
      <c r="L26" s="716"/>
      <c r="M26" s="716">
        <v>62</v>
      </c>
      <c r="N26" s="716"/>
    </row>
    <row r="27" spans="10:14">
      <c r="J27" s="714" t="s">
        <v>185</v>
      </c>
      <c r="K27" s="716">
        <v>34142</v>
      </c>
      <c r="L27" s="716"/>
      <c r="M27" s="716">
        <v>44</v>
      </c>
      <c r="N27" s="716"/>
    </row>
    <row r="28" spans="10:14">
      <c r="J28" s="714" t="s">
        <v>25</v>
      </c>
      <c r="K28" s="716">
        <v>30815</v>
      </c>
      <c r="L28" s="716"/>
      <c r="M28" s="716">
        <v>75</v>
      </c>
      <c r="N28" s="716"/>
    </row>
    <row r="29" spans="10:14">
      <c r="J29" s="714" t="s">
        <v>184</v>
      </c>
      <c r="K29" s="716">
        <v>34446</v>
      </c>
      <c r="L29" s="716"/>
      <c r="M29" s="716">
        <v>17</v>
      </c>
      <c r="N29" s="716"/>
    </row>
    <row r="36" spans="1:6">
      <c r="A36" s="75" t="s">
        <v>658</v>
      </c>
      <c r="B36" s="75"/>
      <c r="C36" s="75"/>
      <c r="D36" s="75"/>
      <c r="E36" s="75"/>
      <c r="F36" s="10"/>
    </row>
    <row r="37" spans="1:6">
      <c r="A37" s="503" t="s">
        <v>694</v>
      </c>
      <c r="B37" s="503"/>
      <c r="C37" s="503"/>
      <c r="D37" s="503"/>
      <c r="E37" s="503"/>
      <c r="F37" s="308"/>
    </row>
    <row r="38" spans="1:6">
      <c r="A38" s="75" t="s">
        <v>434</v>
      </c>
      <c r="B38" s="75"/>
      <c r="C38" s="75"/>
      <c r="D38" s="75"/>
      <c r="E38" s="75"/>
      <c r="F38" s="10"/>
    </row>
  </sheetData>
  <sortState xmlns:xlrd2="http://schemas.microsoft.com/office/spreadsheetml/2017/richdata2" ref="J7:J15">
    <sortCondition descending="1" ref="J7"/>
  </sortState>
  <customSheetViews>
    <customSheetView guid="{00BB8FC3-0B7F-4485-B1CD-FF164EC3970C}" fitToPage="1">
      <selection activeCell="I27" sqref="I27:J27"/>
      <pageMargins left="0.7" right="0.7" top="0.78740157499999996" bottom="0.78740157499999996" header="0.3" footer="0.3"/>
      <pageSetup scale="55" orientation="portrait" r:id="rId1"/>
    </customSheetView>
    <customSheetView guid="{5DDDE19F-F10F-4514-A83C-F71CDD7BE512}" fitToPage="1">
      <selection activeCell="I27" sqref="I27:J27"/>
      <pageMargins left="0.7" right="0.7" top="0.78740157499999996" bottom="0.78740157499999996" header="0.3" footer="0.3"/>
      <pageSetup scale="55" orientation="portrait" r:id="rId2"/>
    </customSheetView>
    <customSheetView guid="{9A6D0F5E-68D7-4772-8712-9975EE0A4B2C}" fitToPage="1">
      <selection activeCell="I27" sqref="I27:J27"/>
      <pageMargins left="0.7" right="0.7" top="0.78740157499999996" bottom="0.78740157499999996" header="0.3" footer="0.3"/>
      <pageSetup scale="55" orientation="portrait" r:id="rId3"/>
    </customSheetView>
  </customSheetViews>
  <pageMargins left="0.7" right="0.7" top="0.78740157499999996" bottom="0.78740157499999996" header="0.3" footer="0.3"/>
  <pageSetup paperSize="9" scale="68" orientation="landscape" r:id="rId4"/>
  <drawing r:id="rId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57"/>
  <sheetViews>
    <sheetView topLeftCell="A31" zoomScale="112" zoomScaleNormal="112" workbookViewId="0">
      <selection activeCell="L32" sqref="L32"/>
    </sheetView>
  </sheetViews>
  <sheetFormatPr baseColWidth="10" defaultRowHeight="15"/>
  <cols>
    <col min="3" max="3" width="18.42578125" customWidth="1"/>
  </cols>
  <sheetData>
    <row r="1" spans="1:10" ht="39.75" customHeight="1">
      <c r="A1" s="660" t="s">
        <v>294</v>
      </c>
      <c r="B1" s="660"/>
      <c r="C1" s="227"/>
      <c r="D1" s="227"/>
      <c r="E1" s="227"/>
      <c r="F1" s="240"/>
      <c r="G1" s="160"/>
      <c r="H1" s="160"/>
      <c r="I1" s="160"/>
    </row>
    <row r="2" spans="1:10" s="160" customFormat="1" ht="20.25">
      <c r="A2" s="386"/>
      <c r="B2" s="386"/>
      <c r="C2" s="22"/>
      <c r="D2" s="22"/>
      <c r="E2" s="22"/>
      <c r="F2" s="2"/>
    </row>
    <row r="3" spans="1:10">
      <c r="A3" s="240" t="s">
        <v>47</v>
      </c>
      <c r="B3" s="240"/>
      <c r="C3" s="240"/>
      <c r="D3" s="196">
        <v>2013</v>
      </c>
      <c r="E3" s="196">
        <v>2016</v>
      </c>
      <c r="F3" s="199">
        <v>2020</v>
      </c>
      <c r="G3" s="199">
        <v>2021</v>
      </c>
      <c r="H3" s="199">
        <v>2022</v>
      </c>
      <c r="I3" s="199">
        <v>2023</v>
      </c>
      <c r="J3" s="199" t="s">
        <v>0</v>
      </c>
    </row>
    <row r="4" spans="1:10">
      <c r="A4" s="240" t="s">
        <v>208</v>
      </c>
      <c r="B4" s="240"/>
      <c r="C4" s="240"/>
      <c r="D4" s="238">
        <v>2570</v>
      </c>
      <c r="E4" s="238">
        <v>2672</v>
      </c>
      <c r="F4" s="242">
        <v>2932</v>
      </c>
      <c r="G4" s="242">
        <v>3370</v>
      </c>
      <c r="H4" s="242">
        <v>3733</v>
      </c>
      <c r="I4" s="242">
        <v>3842</v>
      </c>
      <c r="J4" s="242" t="s">
        <v>0</v>
      </c>
    </row>
    <row r="5" spans="1:10">
      <c r="A5" s="240"/>
      <c r="B5" s="240"/>
      <c r="C5" s="240"/>
      <c r="D5" s="240"/>
      <c r="E5" s="240"/>
      <c r="F5" s="10"/>
      <c r="G5" s="10"/>
      <c r="H5" s="10"/>
      <c r="I5" s="10"/>
    </row>
    <row r="6" spans="1:10">
      <c r="A6" s="10"/>
      <c r="B6" s="10"/>
      <c r="C6" s="10"/>
      <c r="D6" s="10"/>
      <c r="E6" s="10"/>
      <c r="F6" s="10"/>
      <c r="G6" s="10"/>
      <c r="H6" s="10"/>
      <c r="I6" s="10"/>
    </row>
    <row r="7" spans="1:10">
      <c r="A7" s="457" t="s">
        <v>744</v>
      </c>
      <c r="B7" s="410"/>
      <c r="C7" s="410"/>
      <c r="D7" s="456"/>
      <c r="E7" s="10"/>
      <c r="F7" s="10"/>
      <c r="G7" s="10"/>
      <c r="H7" s="10"/>
      <c r="I7" s="10"/>
    </row>
    <row r="8" spans="1:10">
      <c r="A8" s="170" t="s">
        <v>0</v>
      </c>
      <c r="B8" s="143"/>
      <c r="C8" s="143"/>
      <c r="D8" s="10"/>
      <c r="E8" s="10"/>
      <c r="F8" s="10"/>
      <c r="G8" s="10"/>
      <c r="H8" s="10"/>
      <c r="I8" s="10"/>
    </row>
    <row r="9" spans="1:10">
      <c r="A9" s="240"/>
      <c r="B9" s="240"/>
      <c r="C9" s="240"/>
      <c r="D9" s="196">
        <v>2013</v>
      </c>
      <c r="E9" s="196">
        <v>2016</v>
      </c>
      <c r="F9" s="196">
        <v>2020</v>
      </c>
      <c r="G9" s="199">
        <v>2021</v>
      </c>
      <c r="H9" s="199">
        <v>2022</v>
      </c>
      <c r="I9" s="199">
        <v>2023</v>
      </c>
    </row>
    <row r="10" spans="1:10">
      <c r="A10" s="240" t="s">
        <v>187</v>
      </c>
      <c r="B10" s="240"/>
      <c r="C10" s="240"/>
      <c r="D10" s="238">
        <v>158214</v>
      </c>
      <c r="E10" s="242">
        <v>178872</v>
      </c>
      <c r="F10" s="242">
        <v>184048</v>
      </c>
      <c r="G10" s="242">
        <v>202328</v>
      </c>
      <c r="H10" s="242">
        <v>228566</v>
      </c>
      <c r="I10" s="242">
        <v>246009</v>
      </c>
    </row>
    <row r="11" spans="1:10">
      <c r="A11" s="240" t="s">
        <v>197</v>
      </c>
      <c r="B11" s="240"/>
      <c r="C11" s="240"/>
      <c r="D11" s="238">
        <v>169365</v>
      </c>
      <c r="E11" s="242">
        <v>179977</v>
      </c>
      <c r="F11" s="242">
        <v>190977</v>
      </c>
      <c r="G11" s="242">
        <v>215911</v>
      </c>
      <c r="H11" s="242">
        <v>239725</v>
      </c>
      <c r="I11" s="242">
        <v>245504</v>
      </c>
    </row>
    <row r="12" spans="1:10">
      <c r="A12" s="240" t="s">
        <v>186</v>
      </c>
      <c r="B12" s="240"/>
      <c r="C12" s="240"/>
      <c r="D12" s="238">
        <v>155995</v>
      </c>
      <c r="E12" s="242">
        <v>166854</v>
      </c>
      <c r="F12" s="242">
        <v>182835</v>
      </c>
      <c r="G12" s="242">
        <v>203229</v>
      </c>
      <c r="H12" s="242">
        <v>222547</v>
      </c>
      <c r="I12" s="242">
        <v>238207</v>
      </c>
    </row>
    <row r="13" spans="1:10">
      <c r="A13" s="240" t="s">
        <v>190</v>
      </c>
      <c r="B13" s="240"/>
      <c r="C13" s="240"/>
      <c r="D13" s="238">
        <v>154317</v>
      </c>
      <c r="E13" s="242">
        <v>172199</v>
      </c>
      <c r="F13" s="242">
        <v>183168</v>
      </c>
      <c r="G13" s="242">
        <v>202809</v>
      </c>
      <c r="H13" s="242">
        <v>220803</v>
      </c>
      <c r="I13" s="242">
        <v>223539</v>
      </c>
    </row>
    <row r="14" spans="1:10">
      <c r="A14" s="696" t="s">
        <v>25</v>
      </c>
      <c r="B14" s="696"/>
      <c r="C14" s="696"/>
      <c r="D14" s="521">
        <v>161375</v>
      </c>
      <c r="E14" s="521">
        <v>169943</v>
      </c>
      <c r="F14" s="521">
        <v>166891</v>
      </c>
      <c r="G14" s="521">
        <v>188575</v>
      </c>
      <c r="H14" s="521">
        <v>208820</v>
      </c>
      <c r="I14" s="521">
        <v>219019</v>
      </c>
    </row>
    <row r="15" spans="1:10">
      <c r="A15" s="64" t="s">
        <v>184</v>
      </c>
      <c r="B15" s="64"/>
      <c r="C15" s="64"/>
      <c r="D15" s="242">
        <v>159153</v>
      </c>
      <c r="E15" s="242">
        <v>167524</v>
      </c>
      <c r="F15" s="242">
        <v>169746</v>
      </c>
      <c r="G15" s="242">
        <v>187423</v>
      </c>
      <c r="H15" s="242">
        <v>203238</v>
      </c>
      <c r="I15" s="242">
        <v>215328</v>
      </c>
    </row>
    <row r="16" spans="1:10">
      <c r="A16" s="240" t="s">
        <v>198</v>
      </c>
      <c r="B16" s="240"/>
      <c r="C16" s="240"/>
      <c r="D16" s="238">
        <v>144008</v>
      </c>
      <c r="E16" s="242">
        <v>150812</v>
      </c>
      <c r="F16" s="242">
        <v>162250</v>
      </c>
      <c r="G16" s="242">
        <v>179663</v>
      </c>
      <c r="H16" s="242">
        <v>202549</v>
      </c>
      <c r="I16" s="242">
        <v>213143</v>
      </c>
    </row>
    <row r="17" spans="1:17">
      <c r="A17" s="240" t="s">
        <v>185</v>
      </c>
      <c r="B17" s="240"/>
      <c r="C17" s="240"/>
      <c r="D17" s="238">
        <v>148831</v>
      </c>
      <c r="E17" s="242">
        <v>163755</v>
      </c>
      <c r="F17" s="242">
        <v>165068</v>
      </c>
      <c r="G17" s="242">
        <v>189181</v>
      </c>
      <c r="H17" s="242">
        <v>200933</v>
      </c>
      <c r="I17" s="242">
        <v>206622</v>
      </c>
    </row>
    <row r="18" spans="1:17">
      <c r="A18" s="240" t="s">
        <v>191</v>
      </c>
      <c r="B18" s="240"/>
      <c r="C18" s="240"/>
      <c r="D18" s="238">
        <v>147381</v>
      </c>
      <c r="E18" s="242">
        <v>143987</v>
      </c>
      <c r="F18" s="242">
        <v>145047</v>
      </c>
      <c r="G18" s="242">
        <v>158271</v>
      </c>
      <c r="H18" s="242">
        <v>175478</v>
      </c>
      <c r="I18" s="242">
        <v>180221</v>
      </c>
    </row>
    <row r="19" spans="1:17">
      <c r="A19" s="196" t="s">
        <v>68</v>
      </c>
      <c r="B19" s="170"/>
      <c r="C19" s="170"/>
      <c r="D19" s="544">
        <v>157302</v>
      </c>
      <c r="E19" s="249">
        <v>168935</v>
      </c>
      <c r="F19" s="249">
        <v>176536</v>
      </c>
      <c r="G19" s="249">
        <v>197116</v>
      </c>
      <c r="H19" s="249">
        <v>217388</v>
      </c>
      <c r="I19" s="249">
        <v>225769</v>
      </c>
    </row>
    <row r="21" spans="1:17" ht="15.75">
      <c r="A21" s="746" t="s">
        <v>459</v>
      </c>
      <c r="B21" s="747"/>
      <c r="C21" s="747"/>
      <c r="D21" s="747"/>
      <c r="E21" s="22"/>
      <c r="F21" s="2"/>
      <c r="G21" s="2"/>
    </row>
    <row r="28" spans="1:17">
      <c r="N28" s="232" t="s">
        <v>0</v>
      </c>
      <c r="O28" s="232"/>
      <c r="P28" s="232"/>
      <c r="Q28" s="232"/>
    </row>
    <row r="45" spans="1:9">
      <c r="A45" s="654" t="s">
        <v>334</v>
      </c>
      <c r="B45" s="75"/>
      <c r="C45" s="75"/>
    </row>
    <row r="47" spans="1:9">
      <c r="A47" s="775"/>
      <c r="B47" s="775"/>
      <c r="C47" s="775"/>
      <c r="D47" s="777">
        <v>2013</v>
      </c>
      <c r="E47" s="777">
        <v>2016</v>
      </c>
      <c r="F47" s="777">
        <v>2020</v>
      </c>
      <c r="G47" s="777">
        <v>2021</v>
      </c>
      <c r="H47" s="777">
        <v>2022</v>
      </c>
      <c r="I47" s="777">
        <v>2023</v>
      </c>
    </row>
    <row r="48" spans="1:9">
      <c r="A48" s="775" t="s">
        <v>191</v>
      </c>
      <c r="B48" s="775"/>
      <c r="C48" s="775"/>
      <c r="D48" s="778">
        <v>147381</v>
      </c>
      <c r="E48" s="778">
        <v>143987</v>
      </c>
      <c r="F48" s="778">
        <v>145047</v>
      </c>
      <c r="G48" s="778">
        <v>158271</v>
      </c>
      <c r="H48" s="778">
        <v>175478</v>
      </c>
      <c r="I48" s="778">
        <v>180221</v>
      </c>
    </row>
    <row r="49" spans="1:9">
      <c r="A49" s="775" t="s">
        <v>185</v>
      </c>
      <c r="B49" s="775"/>
      <c r="C49" s="775"/>
      <c r="D49" s="778">
        <v>148831</v>
      </c>
      <c r="E49" s="778">
        <v>163755</v>
      </c>
      <c r="F49" s="778">
        <v>165068</v>
      </c>
      <c r="G49" s="778">
        <v>189181</v>
      </c>
      <c r="H49" s="778">
        <v>200933</v>
      </c>
      <c r="I49" s="778">
        <v>206622</v>
      </c>
    </row>
    <row r="50" spans="1:9">
      <c r="A50" s="775" t="s">
        <v>198</v>
      </c>
      <c r="B50" s="775"/>
      <c r="C50" s="775"/>
      <c r="D50" s="778">
        <v>144008</v>
      </c>
      <c r="E50" s="778">
        <v>150812</v>
      </c>
      <c r="F50" s="778">
        <v>162250</v>
      </c>
      <c r="G50" s="778">
        <v>179663</v>
      </c>
      <c r="H50" s="778">
        <v>202549</v>
      </c>
      <c r="I50" s="778">
        <v>213143</v>
      </c>
    </row>
    <row r="51" spans="1:9">
      <c r="A51" s="775" t="s">
        <v>184</v>
      </c>
      <c r="B51" s="775"/>
      <c r="C51" s="775"/>
      <c r="D51" s="778">
        <v>159153</v>
      </c>
      <c r="E51" s="778">
        <v>167524</v>
      </c>
      <c r="F51" s="778">
        <v>169746</v>
      </c>
      <c r="G51" s="778">
        <v>187423</v>
      </c>
      <c r="H51" s="778">
        <v>203238</v>
      </c>
      <c r="I51" s="778">
        <v>215328</v>
      </c>
    </row>
    <row r="52" spans="1:9">
      <c r="A52" s="777" t="s">
        <v>25</v>
      </c>
      <c r="B52" s="777"/>
      <c r="C52" s="777"/>
      <c r="D52" s="779">
        <v>161375</v>
      </c>
      <c r="E52" s="779">
        <v>169943</v>
      </c>
      <c r="F52" s="779">
        <v>166891</v>
      </c>
      <c r="G52" s="779">
        <v>188575</v>
      </c>
      <c r="H52" s="779">
        <v>208820</v>
      </c>
      <c r="I52" s="779">
        <v>219019</v>
      </c>
    </row>
    <row r="53" spans="1:9">
      <c r="A53" s="775" t="s">
        <v>190</v>
      </c>
      <c r="B53" s="775"/>
      <c r="C53" s="775"/>
      <c r="D53" s="778">
        <v>154317</v>
      </c>
      <c r="E53" s="778">
        <v>172199</v>
      </c>
      <c r="F53" s="778">
        <v>183168</v>
      </c>
      <c r="G53" s="778">
        <v>202809</v>
      </c>
      <c r="H53" s="778">
        <v>220803</v>
      </c>
      <c r="I53" s="778">
        <v>223539</v>
      </c>
    </row>
    <row r="54" spans="1:9">
      <c r="A54" s="775" t="s">
        <v>186</v>
      </c>
      <c r="B54" s="775"/>
      <c r="C54" s="775"/>
      <c r="D54" s="778">
        <v>155995</v>
      </c>
      <c r="E54" s="778">
        <v>166854</v>
      </c>
      <c r="F54" s="778">
        <v>182835</v>
      </c>
      <c r="G54" s="778">
        <v>203229</v>
      </c>
      <c r="H54" s="778">
        <v>222547</v>
      </c>
      <c r="I54" s="778">
        <v>238207</v>
      </c>
    </row>
    <row r="55" spans="1:9">
      <c r="A55" s="775" t="s">
        <v>197</v>
      </c>
      <c r="B55" s="775"/>
      <c r="C55" s="775"/>
      <c r="D55" s="778">
        <v>169365</v>
      </c>
      <c r="E55" s="778">
        <v>179977</v>
      </c>
      <c r="F55" s="778">
        <v>190977</v>
      </c>
      <c r="G55" s="778">
        <v>215911</v>
      </c>
      <c r="H55" s="778">
        <v>239725</v>
      </c>
      <c r="I55" s="778">
        <v>245504</v>
      </c>
    </row>
    <row r="56" spans="1:9">
      <c r="A56" s="775" t="s">
        <v>187</v>
      </c>
      <c r="B56" s="775"/>
      <c r="C56" s="775"/>
      <c r="D56" s="778">
        <v>158214</v>
      </c>
      <c r="E56" s="778">
        <v>178872</v>
      </c>
      <c r="F56" s="778">
        <v>184048</v>
      </c>
      <c r="G56" s="778">
        <v>202328</v>
      </c>
      <c r="H56" s="778">
        <v>228566</v>
      </c>
      <c r="I56" s="778">
        <v>246009</v>
      </c>
    </row>
    <row r="57" spans="1:9">
      <c r="A57" s="777" t="s">
        <v>68</v>
      </c>
      <c r="B57" s="775"/>
      <c r="C57" s="775"/>
      <c r="D57" s="779">
        <v>157302</v>
      </c>
      <c r="E57" s="779">
        <v>168935</v>
      </c>
      <c r="F57" s="779">
        <v>176536</v>
      </c>
      <c r="G57" s="779">
        <v>197116</v>
      </c>
      <c r="H57" s="779">
        <v>217388</v>
      </c>
      <c r="I57" s="779">
        <v>225769</v>
      </c>
    </row>
  </sheetData>
  <sortState xmlns:xlrd2="http://schemas.microsoft.com/office/spreadsheetml/2017/richdata2" ref="A48:G56">
    <sortCondition ref="G48:G56"/>
  </sortState>
  <customSheetViews>
    <customSheetView guid="{00BB8FC3-0B7F-4485-B1CD-FF164EC3970C}" scale="81" fitToPage="1" topLeftCell="A4">
      <selection activeCell="S19" sqref="S19"/>
      <pageMargins left="0.7" right="0.7" top="0.78740157499999996" bottom="0.78740157499999996" header="0.3" footer="0.3"/>
      <pageSetup scale="40" orientation="portrait" r:id="rId1"/>
    </customSheetView>
    <customSheetView guid="{5DDDE19F-F10F-4514-A83C-F71CDD7BE512}" scale="81" fitToPage="1" topLeftCell="A4">
      <selection activeCell="S19" sqref="S19"/>
      <pageMargins left="0.7" right="0.7" top="0.78740157499999996" bottom="0.78740157499999996" header="0.3" footer="0.3"/>
      <pageSetup scale="40" orientation="portrait" r:id="rId2"/>
    </customSheetView>
    <customSheetView guid="{9A6D0F5E-68D7-4772-8712-9975EE0A4B2C}" scale="81" fitToPage="1" topLeftCell="A4">
      <selection activeCell="S19" sqref="S19"/>
      <pageMargins left="0.7" right="0.7" top="0.78740157499999996" bottom="0.78740157499999996" header="0.3" footer="0.3"/>
      <pageSetup scale="40" orientation="portrait" r:id="rId3"/>
    </customSheetView>
  </customSheetViews>
  <pageMargins left="0.7" right="0.7" top="0.78740157499999996" bottom="0.78740157499999996" header="0.3" footer="0.3"/>
  <pageSetup paperSize="9" scale="46" orientation="landscape" r:id="rId4"/>
  <drawing r:id="rId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57"/>
  <sheetViews>
    <sheetView topLeftCell="A11" workbookViewId="0">
      <selection activeCell="J43" sqref="J43"/>
    </sheetView>
  </sheetViews>
  <sheetFormatPr baseColWidth="10" defaultColWidth="11.42578125" defaultRowHeight="15"/>
  <cols>
    <col min="1" max="3" width="11.42578125" style="160"/>
    <col min="4" max="4" width="12.7109375" style="160" customWidth="1"/>
    <col min="5" max="5" width="11.42578125" style="160"/>
    <col min="6" max="6" width="14.85546875" style="160" customWidth="1"/>
    <col min="7" max="10" width="11.42578125" style="160"/>
    <col min="11" max="11" width="18.7109375" style="160" customWidth="1"/>
    <col min="12" max="12" width="13.7109375" style="160" customWidth="1"/>
    <col min="13" max="16384" width="11.42578125" style="160"/>
  </cols>
  <sheetData>
    <row r="1" spans="1:16" ht="39.75" customHeight="1">
      <c r="A1" s="660" t="s">
        <v>443</v>
      </c>
      <c r="B1" s="660"/>
      <c r="C1" s="10"/>
      <c r="D1" s="10"/>
      <c r="E1" s="10"/>
      <c r="F1" s="10"/>
    </row>
    <row r="3" spans="1:16">
      <c r="G3" s="10"/>
    </row>
    <row r="4" spans="1:16">
      <c r="A4" s="10"/>
      <c r="B4" s="10"/>
      <c r="C4" s="10"/>
      <c r="D4" s="10"/>
      <c r="E4" s="10"/>
      <c r="F4" s="10"/>
      <c r="G4" s="10"/>
    </row>
    <row r="5" spans="1:16">
      <c r="A5" s="5" t="s">
        <v>171</v>
      </c>
      <c r="B5" s="10"/>
      <c r="C5" s="5" t="s">
        <v>414</v>
      </c>
      <c r="D5" s="5"/>
      <c r="E5" s="5"/>
      <c r="F5" s="5" t="s">
        <v>415</v>
      </c>
      <c r="G5" s="5"/>
      <c r="H5" s="5"/>
      <c r="I5" s="5"/>
    </row>
    <row r="6" spans="1:16">
      <c r="A6" s="10"/>
      <c r="B6" s="10"/>
      <c r="C6" s="5" t="s">
        <v>416</v>
      </c>
      <c r="D6" s="5"/>
      <c r="E6" s="5"/>
      <c r="F6" s="5" t="s">
        <v>416</v>
      </c>
      <c r="G6" s="5"/>
      <c r="H6" s="5"/>
      <c r="I6" s="5"/>
    </row>
    <row r="7" spans="1:16">
      <c r="A7" s="143">
        <v>2012</v>
      </c>
      <c r="B7" s="143"/>
      <c r="C7" s="164">
        <v>905</v>
      </c>
      <c r="D7" s="143"/>
      <c r="E7" s="143"/>
      <c r="F7" s="164">
        <v>2712</v>
      </c>
      <c r="G7" s="10"/>
      <c r="I7" s="33" t="s">
        <v>0</v>
      </c>
      <c r="J7" s="10"/>
      <c r="K7" s="92" t="s">
        <v>0</v>
      </c>
      <c r="L7" s="10"/>
      <c r="M7" s="10"/>
      <c r="N7" s="92" t="s">
        <v>0</v>
      </c>
    </row>
    <row r="8" spans="1:16">
      <c r="A8" s="143">
        <v>2013</v>
      </c>
      <c r="B8" s="143"/>
      <c r="C8" s="164">
        <v>821</v>
      </c>
      <c r="D8" s="143"/>
      <c r="E8" s="143"/>
      <c r="F8" s="164">
        <v>2290</v>
      </c>
      <c r="G8" s="10"/>
      <c r="L8" s="52"/>
    </row>
    <row r="9" spans="1:16">
      <c r="A9" s="143">
        <v>2014</v>
      </c>
      <c r="B9" s="143"/>
      <c r="C9" s="163">
        <v>865</v>
      </c>
      <c r="D9" s="143"/>
      <c r="E9" s="143"/>
      <c r="F9" s="164">
        <v>2685</v>
      </c>
      <c r="G9" s="10"/>
      <c r="L9" s="52"/>
    </row>
    <row r="10" spans="1:16">
      <c r="A10" s="143">
        <v>2015</v>
      </c>
      <c r="B10" s="143"/>
      <c r="C10" s="163">
        <v>858</v>
      </c>
      <c r="D10" s="143"/>
      <c r="E10" s="143"/>
      <c r="F10" s="164">
        <v>2899</v>
      </c>
      <c r="G10" s="10"/>
      <c r="L10" s="52"/>
    </row>
    <row r="11" spans="1:16">
      <c r="A11" s="143">
        <v>2016</v>
      </c>
      <c r="B11" s="143"/>
      <c r="C11" s="163">
        <v>825</v>
      </c>
      <c r="D11" s="143"/>
      <c r="E11" s="143"/>
      <c r="F11" s="164">
        <v>3036</v>
      </c>
      <c r="G11" s="10"/>
      <c r="K11" s="714">
        <v>2010</v>
      </c>
      <c r="L11" s="714"/>
      <c r="M11" s="716">
        <v>851</v>
      </c>
      <c r="N11" s="714"/>
      <c r="O11" s="714"/>
      <c r="P11" s="716">
        <v>2194</v>
      </c>
    </row>
    <row r="12" spans="1:16">
      <c r="A12" s="143">
        <v>2017</v>
      </c>
      <c r="B12" s="143"/>
      <c r="C12" s="163">
        <v>908</v>
      </c>
      <c r="D12" s="143"/>
      <c r="E12" s="143"/>
      <c r="F12" s="164">
        <v>3469</v>
      </c>
      <c r="K12" s="714">
        <v>2011</v>
      </c>
      <c r="L12" s="714"/>
      <c r="M12" s="716">
        <v>808</v>
      </c>
      <c r="N12" s="714"/>
      <c r="O12" s="714"/>
      <c r="P12" s="716">
        <v>2075</v>
      </c>
    </row>
    <row r="13" spans="1:16">
      <c r="A13" s="143">
        <v>2018</v>
      </c>
      <c r="B13" s="143"/>
      <c r="C13" s="163">
        <v>898</v>
      </c>
      <c r="D13" s="143"/>
      <c r="E13" s="143"/>
      <c r="F13" s="164">
        <v>3180</v>
      </c>
      <c r="L13" s="52"/>
    </row>
    <row r="14" spans="1:16">
      <c r="A14" s="143">
        <v>2019</v>
      </c>
      <c r="B14" s="143"/>
      <c r="C14" s="321">
        <v>939</v>
      </c>
      <c r="D14" s="143"/>
      <c r="E14" s="143"/>
      <c r="F14" s="164">
        <v>3563</v>
      </c>
      <c r="L14" s="52"/>
    </row>
    <row r="15" spans="1:16">
      <c r="A15" s="143">
        <v>2020</v>
      </c>
      <c r="B15" s="143"/>
      <c r="C15" s="163">
        <v>944</v>
      </c>
      <c r="D15" s="143"/>
      <c r="E15" s="143"/>
      <c r="F15" s="164">
        <v>3591</v>
      </c>
      <c r="L15" s="52"/>
    </row>
    <row r="16" spans="1:16">
      <c r="A16" s="300">
        <v>2021</v>
      </c>
      <c r="B16" s="300"/>
      <c r="C16" s="338">
        <v>840</v>
      </c>
      <c r="D16" s="300"/>
      <c r="E16" s="300"/>
      <c r="F16" s="245">
        <v>3842</v>
      </c>
      <c r="L16" s="52"/>
    </row>
    <row r="17" spans="1:17">
      <c r="A17" s="300">
        <v>2022</v>
      </c>
      <c r="B17" s="130"/>
      <c r="C17" s="684">
        <v>925</v>
      </c>
      <c r="D17" s="130"/>
      <c r="E17" s="130"/>
      <c r="F17" s="685">
        <v>2645</v>
      </c>
      <c r="L17" s="52"/>
    </row>
    <row r="18" spans="1:17" ht="17.25">
      <c r="A18" s="693">
        <v>2023</v>
      </c>
      <c r="B18" s="694"/>
      <c r="C18" s="688" t="s">
        <v>711</v>
      </c>
      <c r="D18" s="694"/>
      <c r="E18" s="694"/>
      <c r="F18" s="695">
        <v>2086</v>
      </c>
    </row>
    <row r="22" spans="1:17">
      <c r="A22" s="5" t="s">
        <v>384</v>
      </c>
      <c r="H22" s="130"/>
    </row>
    <row r="23" spans="1:17">
      <c r="A23" s="5" t="s">
        <v>383</v>
      </c>
    </row>
    <row r="24" spans="1:17">
      <c r="B24" s="159" t="s">
        <v>382</v>
      </c>
      <c r="C24" s="160" t="s">
        <v>0</v>
      </c>
    </row>
    <row r="25" spans="1:17">
      <c r="A25" s="159" t="s">
        <v>171</v>
      </c>
      <c r="B25" s="159" t="s">
        <v>80</v>
      </c>
      <c r="C25" s="159" t="s">
        <v>381</v>
      </c>
      <c r="D25" s="159" t="s">
        <v>380</v>
      </c>
      <c r="E25" s="159" t="s">
        <v>379</v>
      </c>
      <c r="F25" s="159" t="s">
        <v>378</v>
      </c>
    </row>
    <row r="26" spans="1:17">
      <c r="B26" s="159" t="s">
        <v>0</v>
      </c>
      <c r="C26" s="159"/>
      <c r="D26" s="159" t="s">
        <v>377</v>
      </c>
      <c r="E26" s="159" t="s">
        <v>376</v>
      </c>
      <c r="F26" s="159" t="s">
        <v>375</v>
      </c>
      <c r="G26" s="159" t="s">
        <v>374</v>
      </c>
    </row>
    <row r="27" spans="1:17">
      <c r="A27" s="400">
        <v>2012</v>
      </c>
      <c r="B27" s="209">
        <v>1328</v>
      </c>
      <c r="C27" s="209">
        <v>355</v>
      </c>
      <c r="D27" s="209">
        <v>18</v>
      </c>
      <c r="E27" s="209">
        <v>525</v>
      </c>
      <c r="F27" s="209">
        <v>349</v>
      </c>
      <c r="G27" s="209">
        <v>76</v>
      </c>
      <c r="K27" s="780">
        <v>1998</v>
      </c>
      <c r="L27" s="781">
        <v>2001</v>
      </c>
      <c r="M27" s="781">
        <v>815</v>
      </c>
      <c r="N27" s="781">
        <v>261</v>
      </c>
      <c r="O27" s="781">
        <v>555</v>
      </c>
      <c r="P27" s="781">
        <v>326</v>
      </c>
      <c r="Q27" s="781">
        <v>20</v>
      </c>
    </row>
    <row r="28" spans="1:17">
      <c r="A28" s="400">
        <v>2013</v>
      </c>
      <c r="B28" s="209">
        <v>1061</v>
      </c>
      <c r="C28" s="209">
        <v>259</v>
      </c>
      <c r="D28" s="209">
        <v>15</v>
      </c>
      <c r="E28" s="209">
        <v>400</v>
      </c>
      <c r="F28" s="209">
        <v>354</v>
      </c>
      <c r="G28" s="209">
        <v>32</v>
      </c>
      <c r="K28" s="780">
        <v>1999</v>
      </c>
      <c r="L28" s="781">
        <v>1783</v>
      </c>
      <c r="M28" s="781">
        <v>715</v>
      </c>
      <c r="N28" s="781">
        <v>315</v>
      </c>
      <c r="O28" s="781">
        <v>557</v>
      </c>
      <c r="P28" s="781">
        <v>183</v>
      </c>
      <c r="Q28" s="781">
        <v>5</v>
      </c>
    </row>
    <row r="29" spans="1:17">
      <c r="A29" s="400">
        <v>2014</v>
      </c>
      <c r="B29" s="209">
        <v>1228</v>
      </c>
      <c r="C29" s="209">
        <v>211</v>
      </c>
      <c r="D29" s="209">
        <v>11</v>
      </c>
      <c r="E29" s="209">
        <v>444</v>
      </c>
      <c r="F29" s="209">
        <v>530</v>
      </c>
      <c r="G29" s="209">
        <v>17</v>
      </c>
      <c r="K29" s="780">
        <v>2000</v>
      </c>
      <c r="L29" s="781">
        <v>1685</v>
      </c>
      <c r="M29" s="781">
        <v>621</v>
      </c>
      <c r="N29" s="781">
        <v>226</v>
      </c>
      <c r="O29" s="781">
        <v>526</v>
      </c>
      <c r="P29" s="781">
        <v>297</v>
      </c>
      <c r="Q29" s="781">
        <v>0</v>
      </c>
    </row>
    <row r="30" spans="1:17">
      <c r="A30" s="400">
        <v>2015</v>
      </c>
      <c r="B30" s="209">
        <v>1215</v>
      </c>
      <c r="C30" s="209">
        <v>175</v>
      </c>
      <c r="D30" s="209">
        <v>23</v>
      </c>
      <c r="E30" s="209">
        <v>424</v>
      </c>
      <c r="F30" s="209">
        <v>521</v>
      </c>
      <c r="G30" s="209">
        <v>21</v>
      </c>
      <c r="K30" s="780">
        <v>2001</v>
      </c>
      <c r="L30" s="781">
        <v>1248</v>
      </c>
      <c r="M30" s="781">
        <v>534</v>
      </c>
      <c r="N30" s="781">
        <v>166</v>
      </c>
      <c r="O30" s="781">
        <v>438</v>
      </c>
      <c r="P30" s="781">
        <v>82</v>
      </c>
      <c r="Q30" s="781">
        <v>0</v>
      </c>
    </row>
    <row r="31" spans="1:17">
      <c r="A31" s="400">
        <v>2016</v>
      </c>
      <c r="B31" s="209">
        <v>1424</v>
      </c>
      <c r="C31" s="209">
        <v>166</v>
      </c>
      <c r="D31" s="209">
        <v>38</v>
      </c>
      <c r="E31" s="209">
        <v>554</v>
      </c>
      <c r="F31" s="209">
        <v>608</v>
      </c>
      <c r="G31" s="209">
        <v>18</v>
      </c>
      <c r="K31" s="780">
        <v>2002</v>
      </c>
      <c r="L31" s="781">
        <v>1779</v>
      </c>
      <c r="M31" s="781">
        <v>584</v>
      </c>
      <c r="N31" s="781">
        <v>170</v>
      </c>
      <c r="O31" s="781">
        <v>618</v>
      </c>
      <c r="P31" s="781">
        <v>382</v>
      </c>
      <c r="Q31" s="781">
        <v>18</v>
      </c>
    </row>
    <row r="32" spans="1:17">
      <c r="A32" s="400">
        <v>2017</v>
      </c>
      <c r="B32" s="209">
        <v>1540</v>
      </c>
      <c r="C32" s="400">
        <v>198</v>
      </c>
      <c r="D32" s="400">
        <v>43</v>
      </c>
      <c r="E32" s="400">
        <v>489</v>
      </c>
      <c r="F32" s="400">
        <v>756</v>
      </c>
      <c r="G32" s="400">
        <v>20</v>
      </c>
      <c r="K32" s="780">
        <v>2003</v>
      </c>
      <c r="L32" s="781">
        <v>1837</v>
      </c>
      <c r="M32" s="781">
        <v>563</v>
      </c>
      <c r="N32" s="781">
        <v>111</v>
      </c>
      <c r="O32" s="781">
        <v>766</v>
      </c>
      <c r="P32" s="781">
        <v>229</v>
      </c>
      <c r="Q32" s="781">
        <v>163</v>
      </c>
    </row>
    <row r="33" spans="1:17">
      <c r="A33" s="251">
        <v>2018</v>
      </c>
      <c r="B33" s="209">
        <v>1576</v>
      </c>
      <c r="C33" s="209">
        <v>184</v>
      </c>
      <c r="D33" s="209">
        <v>73</v>
      </c>
      <c r="E33" s="209">
        <v>534</v>
      </c>
      <c r="F33" s="209">
        <v>727</v>
      </c>
      <c r="G33" s="209">
        <v>17</v>
      </c>
      <c r="K33" s="780">
        <v>2004</v>
      </c>
      <c r="L33" s="781">
        <v>1725</v>
      </c>
      <c r="M33" s="781">
        <v>596</v>
      </c>
      <c r="N33" s="781">
        <v>101</v>
      </c>
      <c r="O33" s="781">
        <v>628</v>
      </c>
      <c r="P33" s="781">
        <v>298</v>
      </c>
      <c r="Q33" s="781">
        <v>91</v>
      </c>
    </row>
    <row r="34" spans="1:17">
      <c r="A34" s="251">
        <v>2019</v>
      </c>
      <c r="B34" s="209">
        <v>1067</v>
      </c>
      <c r="C34" s="209">
        <v>165</v>
      </c>
      <c r="D34" s="209">
        <v>39</v>
      </c>
      <c r="E34" s="209">
        <v>371</v>
      </c>
      <c r="F34" s="209">
        <v>444</v>
      </c>
      <c r="G34" s="209">
        <v>13</v>
      </c>
      <c r="H34" s="232" t="s">
        <v>0</v>
      </c>
      <c r="I34" s="130"/>
      <c r="J34" s="130"/>
      <c r="K34" s="780">
        <v>2005</v>
      </c>
      <c r="L34" s="781">
        <v>1803</v>
      </c>
      <c r="M34" s="781">
        <v>566</v>
      </c>
      <c r="N34" s="781">
        <v>64</v>
      </c>
      <c r="O34" s="781">
        <v>753</v>
      </c>
      <c r="P34" s="781">
        <v>276</v>
      </c>
      <c r="Q34" s="781">
        <v>117</v>
      </c>
    </row>
    <row r="35" spans="1:17">
      <c r="A35" s="400">
        <v>2020</v>
      </c>
      <c r="B35" s="400">
        <v>962</v>
      </c>
      <c r="C35" s="400">
        <v>164</v>
      </c>
      <c r="D35" s="400">
        <v>30</v>
      </c>
      <c r="E35" s="400">
        <v>251</v>
      </c>
      <c r="F35" s="400">
        <v>467</v>
      </c>
      <c r="G35" s="400">
        <v>13</v>
      </c>
      <c r="K35" s="780">
        <v>2006</v>
      </c>
      <c r="L35" s="781">
        <v>1486</v>
      </c>
      <c r="M35" s="781">
        <v>522</v>
      </c>
      <c r="N35" s="781">
        <v>67</v>
      </c>
      <c r="O35" s="781">
        <v>597</v>
      </c>
      <c r="P35" s="781">
        <v>246</v>
      </c>
      <c r="Q35" s="781">
        <v>45</v>
      </c>
    </row>
    <row r="36" spans="1:17">
      <c r="A36" s="500">
        <v>2021</v>
      </c>
      <c r="B36" s="500">
        <v>995</v>
      </c>
      <c r="C36" s="500">
        <v>105</v>
      </c>
      <c r="D36" s="500">
        <v>21</v>
      </c>
      <c r="E36" s="500">
        <v>234</v>
      </c>
      <c r="F36" s="500">
        <v>595</v>
      </c>
      <c r="G36" s="500">
        <v>13</v>
      </c>
      <c r="K36" s="780">
        <v>2007</v>
      </c>
      <c r="L36" s="781">
        <v>1734</v>
      </c>
      <c r="M36" s="781">
        <v>544</v>
      </c>
      <c r="N36" s="781">
        <v>63</v>
      </c>
      <c r="O36" s="781">
        <v>696</v>
      </c>
      <c r="P36" s="781">
        <v>329</v>
      </c>
      <c r="Q36" s="781">
        <v>93</v>
      </c>
    </row>
    <row r="37" spans="1:17" ht="16.5">
      <c r="A37" s="500">
        <v>2022</v>
      </c>
      <c r="B37" s="500">
        <v>726</v>
      </c>
      <c r="C37" s="500">
        <v>134</v>
      </c>
      <c r="D37" s="500">
        <v>36</v>
      </c>
      <c r="E37" s="500">
        <v>137</v>
      </c>
      <c r="F37" s="500">
        <v>379</v>
      </c>
      <c r="G37" s="500">
        <v>8</v>
      </c>
      <c r="H37" s="32"/>
      <c r="K37" s="780">
        <v>2008</v>
      </c>
      <c r="L37" s="781">
        <v>1465</v>
      </c>
      <c r="M37" s="781">
        <v>466</v>
      </c>
      <c r="N37" s="781">
        <v>51</v>
      </c>
      <c r="O37" s="781">
        <v>564</v>
      </c>
      <c r="P37" s="781">
        <v>325</v>
      </c>
      <c r="Q37" s="781">
        <v>50</v>
      </c>
    </row>
    <row r="38" spans="1:17" ht="16.5">
      <c r="A38" s="692">
        <v>2023</v>
      </c>
      <c r="B38" s="692">
        <v>916</v>
      </c>
      <c r="C38" s="692">
        <v>184</v>
      </c>
      <c r="D38" s="692">
        <v>28</v>
      </c>
      <c r="E38" s="692">
        <v>69</v>
      </c>
      <c r="F38" s="692">
        <v>522</v>
      </c>
      <c r="G38" s="692">
        <v>11</v>
      </c>
      <c r="H38" s="32"/>
      <c r="K38" s="780">
        <v>2009</v>
      </c>
      <c r="L38" s="781">
        <v>1255</v>
      </c>
      <c r="M38" s="781">
        <v>397</v>
      </c>
      <c r="N38" s="781">
        <v>42</v>
      </c>
      <c r="O38" s="781">
        <v>471</v>
      </c>
      <c r="P38" s="781">
        <v>257</v>
      </c>
      <c r="Q38" s="781">
        <v>67</v>
      </c>
    </row>
    <row r="39" spans="1:17">
      <c r="K39" s="780">
        <v>2010</v>
      </c>
      <c r="L39" s="781">
        <v>1432.4696969697</v>
      </c>
      <c r="M39" s="781">
        <v>407.39393939393898</v>
      </c>
      <c r="N39" s="781">
        <v>-16.969696969696699</v>
      </c>
      <c r="O39" s="781">
        <v>629.030303030303</v>
      </c>
      <c r="P39" s="781">
        <v>299.030303030303</v>
      </c>
      <c r="Q39" s="781">
        <v>101.727272727273</v>
      </c>
    </row>
    <row r="40" spans="1:17">
      <c r="K40" s="780">
        <v>2011</v>
      </c>
      <c r="L40" s="781">
        <v>1398.9906759906801</v>
      </c>
      <c r="M40" s="781">
        <v>381.31351981351901</v>
      </c>
      <c r="N40" s="781">
        <v>-40.567599067598699</v>
      </c>
      <c r="O40" s="781">
        <v>633.89393939393904</v>
      </c>
      <c r="P40" s="781">
        <v>303.624708624709</v>
      </c>
      <c r="Q40" s="781">
        <v>108.80069930069899</v>
      </c>
    </row>
    <row r="42" spans="1:17">
      <c r="I42" s="143"/>
    </row>
    <row r="53" spans="1:8">
      <c r="A53" s="500"/>
      <c r="B53" s="500"/>
      <c r="C53" s="500"/>
      <c r="D53" s="500"/>
      <c r="E53" s="500"/>
      <c r="F53" s="500"/>
      <c r="G53" s="500"/>
    </row>
    <row r="54" spans="1:8">
      <c r="A54" s="250"/>
      <c r="B54" s="250"/>
      <c r="C54" s="250"/>
      <c r="D54" s="250"/>
      <c r="E54" s="250"/>
      <c r="F54" s="250"/>
      <c r="G54" s="250"/>
    </row>
    <row r="55" spans="1:8">
      <c r="A55" s="75" t="s">
        <v>659</v>
      </c>
      <c r="B55" s="75"/>
      <c r="C55" s="75"/>
      <c r="D55" s="75"/>
      <c r="E55" s="75"/>
      <c r="F55" s="75"/>
      <c r="G55" s="75"/>
      <c r="H55" s="10"/>
    </row>
    <row r="56" spans="1:8">
      <c r="A56" s="75" t="s">
        <v>660</v>
      </c>
      <c r="B56" s="75"/>
      <c r="C56" s="75"/>
      <c r="D56" s="75"/>
      <c r="E56" s="75"/>
      <c r="F56" s="75"/>
      <c r="G56" s="75"/>
      <c r="H56" s="10"/>
    </row>
    <row r="57" spans="1:8">
      <c r="A57" s="75" t="s">
        <v>94</v>
      </c>
      <c r="B57" s="75"/>
      <c r="C57" s="75"/>
      <c r="D57" s="75"/>
      <c r="E57" s="75"/>
      <c r="F57" s="75"/>
      <c r="G57" s="75"/>
      <c r="H57" s="10"/>
    </row>
  </sheetData>
  <customSheetViews>
    <customSheetView guid="{00BB8FC3-0B7F-4485-B1CD-FF164EC3970C}" fitToPage="1">
      <selection activeCell="B46" sqref="B46"/>
      <pageMargins left="0.7" right="0.7" top="0.78740157499999996" bottom="0.78740157499999996" header="0.3" footer="0.3"/>
      <pageSetup paperSize="9" scale="73" orientation="portrait" r:id="rId1"/>
    </customSheetView>
    <customSheetView guid="{5DDDE19F-F10F-4514-A83C-F71CDD7BE512}" fitToPage="1" topLeftCell="A16">
      <selection activeCell="B46" sqref="B46"/>
      <pageMargins left="0.7" right="0.7" top="0.78740157499999996" bottom="0.78740157499999996" header="0.3" footer="0.3"/>
      <pageSetup paperSize="9" scale="73" orientation="portrait" r:id="rId2"/>
    </customSheetView>
    <customSheetView guid="{9A6D0F5E-68D7-4772-8712-9975EE0A4B2C}" fitToPage="1">
      <selection activeCell="B46" sqref="B46"/>
      <pageMargins left="0.7" right="0.7" top="0.78740157499999996" bottom="0.78740157499999996" header="0.3" footer="0.3"/>
      <pageSetup paperSize="9" scale="73" orientation="portrait" r:id="rId3"/>
    </customSheetView>
  </customSheetViews>
  <pageMargins left="0.7" right="0.7" top="0.78740157499999996" bottom="0.78740157499999996" header="0.3" footer="0.3"/>
  <pageSetup paperSize="9" scale="50" orientation="portrait" r:id="rId4"/>
  <drawing r:id="rId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50"/>
  <sheetViews>
    <sheetView topLeftCell="A24" workbookViewId="0">
      <selection activeCell="E24" sqref="E24"/>
    </sheetView>
  </sheetViews>
  <sheetFormatPr baseColWidth="10" defaultRowHeight="15"/>
  <cols>
    <col min="2" max="2" width="31.28515625" customWidth="1"/>
    <col min="3" max="3" width="37.7109375" customWidth="1"/>
    <col min="4" max="4" width="11.85546875" bestFit="1" customWidth="1"/>
  </cols>
  <sheetData>
    <row r="1" spans="1:9" ht="39.75" customHeight="1">
      <c r="A1" s="796" t="s">
        <v>209</v>
      </c>
      <c r="B1" s="796"/>
      <c r="C1" s="796"/>
      <c r="D1" s="427"/>
    </row>
    <row r="2" spans="1:9" ht="15" customHeight="1">
      <c r="A2" s="796"/>
      <c r="B2" s="796"/>
      <c r="C2" s="796"/>
      <c r="D2" s="41"/>
    </row>
    <row r="3" spans="1:9" s="160" customFormat="1" ht="20.25">
      <c r="A3" s="508"/>
      <c r="B3" s="508"/>
      <c r="C3" s="508"/>
      <c r="D3" s="41"/>
    </row>
    <row r="4" spans="1:9" ht="17.25">
      <c r="A4" s="172" t="s">
        <v>643</v>
      </c>
      <c r="B4" s="172"/>
      <c r="C4" s="631" t="s">
        <v>551</v>
      </c>
      <c r="D4" s="552">
        <v>3250</v>
      </c>
    </row>
    <row r="5" spans="1:9">
      <c r="A5" s="10" t="s">
        <v>458</v>
      </c>
      <c r="B5" s="10"/>
      <c r="C5" s="10"/>
      <c r="D5" s="148"/>
    </row>
    <row r="6" spans="1:9" s="160" customFormat="1">
      <c r="A6" s="10"/>
      <c r="B6" s="10"/>
      <c r="C6" s="10"/>
      <c r="D6" s="148"/>
    </row>
    <row r="7" spans="1:9">
      <c r="A7" s="300" t="s">
        <v>552</v>
      </c>
      <c r="B7" s="10" t="s">
        <v>211</v>
      </c>
      <c r="C7" s="10"/>
      <c r="D7" s="550">
        <v>20.399999999999999</v>
      </c>
    </row>
    <row r="8" spans="1:9">
      <c r="A8" s="308"/>
      <c r="B8" s="10" t="s">
        <v>212</v>
      </c>
      <c r="C8" s="10"/>
      <c r="D8" s="550">
        <v>4.2</v>
      </c>
    </row>
    <row r="9" spans="1:9">
      <c r="A9" s="10"/>
      <c r="B9" s="10" t="s">
        <v>213</v>
      </c>
      <c r="C9" s="10"/>
      <c r="D9" s="550">
        <v>24.4</v>
      </c>
    </row>
    <row r="10" spans="1:9">
      <c r="A10" s="10"/>
      <c r="B10" s="10" t="s">
        <v>214</v>
      </c>
      <c r="C10" s="10"/>
      <c r="D10" s="550">
        <v>6.7</v>
      </c>
    </row>
    <row r="11" spans="1:9">
      <c r="A11" s="10"/>
      <c r="B11" s="10" t="s">
        <v>120</v>
      </c>
      <c r="C11" s="10"/>
      <c r="D11" s="550">
        <v>13.9</v>
      </c>
    </row>
    <row r="12" spans="1:9">
      <c r="A12" s="10"/>
      <c r="B12" s="10" t="s">
        <v>465</v>
      </c>
      <c r="C12" s="10"/>
      <c r="D12" s="550">
        <v>13.4</v>
      </c>
    </row>
    <row r="13" spans="1:9">
      <c r="A13" s="10"/>
      <c r="B13" s="10" t="s">
        <v>215</v>
      </c>
      <c r="C13" s="10"/>
      <c r="D13" s="550">
        <v>4.2</v>
      </c>
    </row>
    <row r="14" spans="1:9">
      <c r="A14" s="10"/>
      <c r="B14" s="10" t="s">
        <v>464</v>
      </c>
      <c r="C14" s="10"/>
      <c r="D14" s="550">
        <v>1.2</v>
      </c>
      <c r="I14" s="143" t="s">
        <v>0</v>
      </c>
    </row>
    <row r="15" spans="1:9">
      <c r="I15" s="143" t="s">
        <v>0</v>
      </c>
    </row>
    <row r="16" spans="1:9">
      <c r="A16" s="5" t="s">
        <v>373</v>
      </c>
      <c r="B16" s="10"/>
      <c r="C16" s="10"/>
      <c r="I16" s="201" t="s">
        <v>0</v>
      </c>
    </row>
    <row r="17" spans="1:13">
      <c r="A17" s="300" t="s">
        <v>564</v>
      </c>
      <c r="B17" s="300"/>
      <c r="C17" s="300"/>
      <c r="I17" s="130"/>
      <c r="J17" s="232" t="s">
        <v>0</v>
      </c>
      <c r="K17" s="130"/>
      <c r="L17" s="130"/>
    </row>
    <row r="18" spans="1:13">
      <c r="B18" t="s">
        <v>0</v>
      </c>
      <c r="D18" t="s">
        <v>0</v>
      </c>
    </row>
    <row r="19" spans="1:13">
      <c r="B19" s="160">
        <v>2013</v>
      </c>
      <c r="C19" s="143">
        <v>2016</v>
      </c>
      <c r="D19" s="143">
        <v>2018</v>
      </c>
      <c r="E19" s="143">
        <v>2020</v>
      </c>
      <c r="F19" s="300">
        <v>2021</v>
      </c>
      <c r="G19" s="300">
        <v>2022</v>
      </c>
      <c r="H19" s="499">
        <v>2023</v>
      </c>
    </row>
    <row r="20" spans="1:13">
      <c r="A20" t="s">
        <v>25</v>
      </c>
      <c r="B20" s="160">
        <v>2.5</v>
      </c>
      <c r="C20" s="143">
        <v>2.2000000000000002</v>
      </c>
      <c r="D20" s="143">
        <v>1.5</v>
      </c>
      <c r="E20" s="143">
        <v>-1.2</v>
      </c>
      <c r="F20" s="300">
        <v>3.1</v>
      </c>
      <c r="G20" s="300">
        <v>5.9</v>
      </c>
      <c r="H20" s="499">
        <v>3.1</v>
      </c>
      <c r="J20" s="232" t="s">
        <v>0</v>
      </c>
      <c r="K20" s="232"/>
      <c r="L20" s="232"/>
      <c r="M20" s="232"/>
    </row>
    <row r="21" spans="1:13">
      <c r="A21" t="s">
        <v>68</v>
      </c>
      <c r="B21" s="52">
        <v>1</v>
      </c>
      <c r="C21" s="143">
        <v>0.9</v>
      </c>
      <c r="D21" s="143">
        <v>1</v>
      </c>
      <c r="E21" s="201">
        <v>-2.1</v>
      </c>
      <c r="F21" s="502">
        <v>5.0999999999999996</v>
      </c>
      <c r="G21" s="502">
        <v>8.1</v>
      </c>
      <c r="H21" s="501">
        <v>3</v>
      </c>
    </row>
    <row r="23" spans="1:13" ht="15.75">
      <c r="A23" s="172" t="s">
        <v>466</v>
      </c>
      <c r="B23" s="172"/>
      <c r="C23" s="172" t="s">
        <v>565</v>
      </c>
      <c r="D23" s="187" t="s">
        <v>0</v>
      </c>
    </row>
    <row r="24" spans="1:13" ht="33.6" customHeight="1">
      <c r="A24" s="143" t="s">
        <v>467</v>
      </c>
      <c r="B24" s="143"/>
      <c r="C24" s="143">
        <v>285.39999999999998</v>
      </c>
      <c r="E24" s="21"/>
    </row>
    <row r="25" spans="1:13" ht="15.75">
      <c r="A25" s="143" t="s">
        <v>468</v>
      </c>
      <c r="B25" s="143"/>
      <c r="C25" s="143">
        <v>406.7</v>
      </c>
      <c r="E25" s="53"/>
    </row>
    <row r="26" spans="1:13" ht="15.75">
      <c r="A26" s="143" t="s">
        <v>469</v>
      </c>
      <c r="B26" s="143"/>
      <c r="C26" s="201">
        <v>-121.3</v>
      </c>
      <c r="E26" s="21"/>
    </row>
    <row r="27" spans="1:13" ht="15.75">
      <c r="E27" s="21"/>
    </row>
    <row r="28" spans="1:13" ht="15.75">
      <c r="E28" s="21"/>
    </row>
    <row r="29" spans="1:13" ht="15.75">
      <c r="E29" s="21"/>
    </row>
    <row r="30" spans="1:13" ht="15.75">
      <c r="A30" s="843" t="s">
        <v>642</v>
      </c>
      <c r="B30" s="843"/>
      <c r="C30" s="843"/>
      <c r="D30" s="335"/>
      <c r="E30" s="21"/>
    </row>
    <row r="31" spans="1:13" ht="15.75">
      <c r="A31" s="844" t="s">
        <v>544</v>
      </c>
      <c r="B31" s="844"/>
      <c r="C31" s="844"/>
      <c r="D31" s="629" t="s">
        <v>0</v>
      </c>
      <c r="E31" s="21"/>
    </row>
    <row r="32" spans="1:13" ht="15.75">
      <c r="A32" s="10"/>
      <c r="B32" s="10"/>
      <c r="C32" s="10"/>
      <c r="D32" s="148"/>
      <c r="E32" s="21"/>
    </row>
    <row r="33" spans="1:11" ht="15.75">
      <c r="A33" s="143" t="s">
        <v>31</v>
      </c>
      <c r="B33" s="143"/>
      <c r="C33" s="185">
        <v>20</v>
      </c>
      <c r="D33" s="630" t="s">
        <v>0</v>
      </c>
      <c r="E33" s="21"/>
    </row>
    <row r="34" spans="1:11" ht="15.75">
      <c r="A34" s="143" t="s">
        <v>33</v>
      </c>
      <c r="B34" s="439"/>
      <c r="C34" s="185">
        <v>11</v>
      </c>
      <c r="D34" s="630" t="s">
        <v>0</v>
      </c>
      <c r="E34" s="21"/>
      <c r="F34" s="232" t="s">
        <v>0</v>
      </c>
      <c r="G34" s="232"/>
      <c r="H34" s="232"/>
      <c r="I34" s="232"/>
      <c r="J34" s="232"/>
      <c r="K34" s="130"/>
    </row>
    <row r="35" spans="1:11" ht="15.75">
      <c r="A35" s="143" t="s">
        <v>35</v>
      </c>
      <c r="B35" s="439"/>
      <c r="C35" s="185">
        <v>10</v>
      </c>
      <c r="D35" s="630" t="s">
        <v>0</v>
      </c>
      <c r="E35" s="21"/>
    </row>
    <row r="36" spans="1:11" ht="15.75">
      <c r="A36" s="143" t="s">
        <v>567</v>
      </c>
      <c r="B36" s="439"/>
      <c r="C36" s="185">
        <v>10</v>
      </c>
      <c r="D36" s="630" t="s">
        <v>0</v>
      </c>
      <c r="E36" s="21"/>
    </row>
    <row r="37" spans="1:11" ht="15.75">
      <c r="A37" s="143" t="s">
        <v>219</v>
      </c>
      <c r="B37" s="439"/>
      <c r="C37" s="185">
        <v>9</v>
      </c>
      <c r="D37" s="630" t="s">
        <v>0</v>
      </c>
      <c r="E37" s="21"/>
    </row>
    <row r="38" spans="1:11" ht="15.75">
      <c r="A38" s="143" t="s">
        <v>36</v>
      </c>
      <c r="B38" s="439"/>
      <c r="C38" s="185">
        <v>4</v>
      </c>
      <c r="D38" s="630" t="s">
        <v>0</v>
      </c>
      <c r="E38" s="21"/>
    </row>
    <row r="39" spans="1:11" ht="15.75">
      <c r="A39" s="143" t="s">
        <v>38</v>
      </c>
      <c r="B39" s="439"/>
      <c r="C39" s="185">
        <v>4</v>
      </c>
      <c r="D39" s="630" t="s">
        <v>0</v>
      </c>
      <c r="E39" s="21"/>
    </row>
    <row r="40" spans="1:11" ht="15.75">
      <c r="A40" s="143" t="s">
        <v>37</v>
      </c>
      <c r="B40" s="439"/>
      <c r="C40" s="185">
        <v>4</v>
      </c>
      <c r="D40" s="630" t="s">
        <v>0</v>
      </c>
      <c r="E40" s="21"/>
    </row>
    <row r="41" spans="1:11" ht="15.75">
      <c r="A41" s="143" t="s">
        <v>32</v>
      </c>
      <c r="B41" s="439"/>
      <c r="C41" s="185">
        <v>3</v>
      </c>
      <c r="D41" s="630" t="s">
        <v>0</v>
      </c>
      <c r="E41" s="21"/>
    </row>
    <row r="42" spans="1:11" ht="15.75">
      <c r="A42" s="143" t="s">
        <v>566</v>
      </c>
      <c r="B42" s="439"/>
      <c r="C42" s="185">
        <v>2</v>
      </c>
      <c r="D42" s="630" t="s">
        <v>0</v>
      </c>
      <c r="E42" s="21"/>
    </row>
    <row r="43" spans="1:11" ht="15.75">
      <c r="A43" s="10"/>
      <c r="B43" s="10"/>
      <c r="C43" s="10"/>
      <c r="D43" s="630" t="s">
        <v>0</v>
      </c>
      <c r="E43" s="21"/>
    </row>
    <row r="44" spans="1:11" ht="18">
      <c r="A44" s="200" t="s">
        <v>0</v>
      </c>
      <c r="B44" s="21"/>
      <c r="C44" s="21"/>
      <c r="D44" s="41"/>
    </row>
    <row r="45" spans="1:11" ht="15.75">
      <c r="A45" s="75" t="s">
        <v>661</v>
      </c>
      <c r="B45" s="75"/>
      <c r="C45" s="21"/>
      <c r="D45" s="41"/>
    </row>
    <row r="46" spans="1:11" ht="15.75">
      <c r="A46" s="21"/>
      <c r="B46" s="21"/>
      <c r="C46" s="21"/>
      <c r="D46" s="41"/>
    </row>
    <row r="47" spans="1:11" ht="15.75">
      <c r="A47" s="21"/>
      <c r="B47" s="21"/>
      <c r="C47" s="21"/>
      <c r="D47" s="41"/>
    </row>
    <row r="48" spans="1:11" ht="15.75">
      <c r="A48" s="75" t="s">
        <v>695</v>
      </c>
      <c r="B48" s="75"/>
      <c r="C48" s="75"/>
      <c r="D48" s="41"/>
    </row>
    <row r="49" spans="1:4" ht="15.75">
      <c r="A49" s="21"/>
      <c r="B49" s="21"/>
      <c r="C49" s="21"/>
      <c r="D49" s="41"/>
    </row>
    <row r="50" spans="1:4">
      <c r="A50" s="5"/>
    </row>
  </sheetData>
  <customSheetViews>
    <customSheetView guid="{00BB8FC3-0B7F-4485-B1CD-FF164EC3970C}" fitToPage="1">
      <selection activeCell="A3" sqref="A3"/>
      <pageMargins left="0.7" right="0.7" top="0.78740157499999996" bottom="0.78740157499999996" header="0.3" footer="0.3"/>
      <pageSetup paperSize="9" scale="58" orientation="portrait" r:id="rId1"/>
    </customSheetView>
    <customSheetView guid="{5DDDE19F-F10F-4514-A83C-F71CDD7BE512}" fitToPage="1">
      <selection activeCell="A3" sqref="A3"/>
      <pageMargins left="0.7" right="0.7" top="0.78740157499999996" bottom="0.78740157499999996" header="0.3" footer="0.3"/>
      <pageSetup paperSize="9" scale="58" orientation="portrait" r:id="rId2"/>
    </customSheetView>
    <customSheetView guid="{9A6D0F5E-68D7-4772-8712-9975EE0A4B2C}" fitToPage="1">
      <selection activeCell="A3" sqref="A3"/>
      <pageMargins left="0.7" right="0.7" top="0.78740157499999996" bottom="0.78740157499999996" header="0.3" footer="0.3"/>
      <pageSetup paperSize="9" scale="58" orientation="portrait" r:id="rId3"/>
    </customSheetView>
  </customSheetViews>
  <mergeCells count="3">
    <mergeCell ref="A30:C30"/>
    <mergeCell ref="A31:C31"/>
    <mergeCell ref="A1:C2"/>
  </mergeCells>
  <pageMargins left="0.7" right="0.7" top="0.78740157499999996" bottom="0.78740157499999996" header="0.3" footer="0.3"/>
  <pageSetup paperSize="9" scale="54" orientation="portrait" r:id="rId4"/>
  <drawing r:id="rId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L54"/>
  <sheetViews>
    <sheetView topLeftCell="A11" workbookViewId="0">
      <selection activeCell="H11" sqref="H11"/>
    </sheetView>
  </sheetViews>
  <sheetFormatPr baseColWidth="10" defaultRowHeight="15"/>
  <cols>
    <col min="1" max="1" width="15" customWidth="1"/>
    <col min="2" max="2" width="70.140625" customWidth="1"/>
  </cols>
  <sheetData>
    <row r="1" spans="1:9" ht="39.75" customHeight="1">
      <c r="A1" s="796" t="s">
        <v>696</v>
      </c>
      <c r="B1" s="796"/>
    </row>
    <row r="2" spans="1:9">
      <c r="A2" s="143" t="s">
        <v>622</v>
      </c>
    </row>
    <row r="4" spans="1:9" ht="12.75" customHeight="1"/>
    <row r="5" spans="1:9">
      <c r="A5" s="172" t="s">
        <v>355</v>
      </c>
      <c r="B5" s="172"/>
      <c r="C5" s="172"/>
      <c r="D5" s="172">
        <v>2022</v>
      </c>
      <c r="E5" s="172">
        <v>2023</v>
      </c>
      <c r="F5" s="172" t="s">
        <v>403</v>
      </c>
      <c r="G5" s="5"/>
      <c r="I5" s="160"/>
    </row>
    <row r="6" spans="1:9">
      <c r="A6" s="143"/>
      <c r="B6" s="143"/>
      <c r="C6" s="143"/>
      <c r="D6" s="143"/>
      <c r="E6" s="143"/>
      <c r="F6" s="143"/>
      <c r="G6" s="160"/>
      <c r="I6" s="160"/>
    </row>
    <row r="7" spans="1:9">
      <c r="A7" s="143" t="s">
        <v>198</v>
      </c>
      <c r="B7" s="143"/>
      <c r="C7" s="143"/>
      <c r="D7" s="164">
        <v>26222</v>
      </c>
      <c r="E7" s="164">
        <v>28271</v>
      </c>
      <c r="F7" s="201">
        <f>E7*100/D7-100</f>
        <v>7.8140492716039915</v>
      </c>
      <c r="G7" s="160"/>
      <c r="I7" s="160"/>
    </row>
    <row r="8" spans="1:9">
      <c r="A8" s="143" t="s">
        <v>187</v>
      </c>
      <c r="B8" s="143"/>
      <c r="C8" s="143"/>
      <c r="D8" s="164">
        <v>25978</v>
      </c>
      <c r="E8" s="164">
        <v>28196</v>
      </c>
      <c r="F8" s="201">
        <f>E8*100/D8-100</f>
        <v>8.5379936869658906</v>
      </c>
      <c r="G8" s="160"/>
      <c r="I8" s="160"/>
    </row>
    <row r="9" spans="1:9">
      <c r="A9" s="436" t="s">
        <v>25</v>
      </c>
      <c r="B9" s="436"/>
      <c r="C9" s="436"/>
      <c r="D9" s="464">
        <v>25860</v>
      </c>
      <c r="E9" s="464">
        <v>27758</v>
      </c>
      <c r="F9" s="691">
        <f t="shared" ref="F9:F15" si="0">E9*100/D9-100</f>
        <v>7.3395204949729305</v>
      </c>
      <c r="G9" s="160"/>
      <c r="I9" s="160"/>
    </row>
    <row r="10" spans="1:9">
      <c r="A10" s="143" t="s">
        <v>197</v>
      </c>
      <c r="B10" s="143"/>
      <c r="C10" s="143"/>
      <c r="D10" s="164">
        <v>25677</v>
      </c>
      <c r="E10" s="164">
        <v>27649</v>
      </c>
      <c r="F10" s="201">
        <f t="shared" si="0"/>
        <v>7.6800249250301817</v>
      </c>
      <c r="G10" s="160"/>
      <c r="I10" s="160"/>
    </row>
    <row r="11" spans="1:9">
      <c r="A11" s="143" t="s">
        <v>185</v>
      </c>
      <c r="B11" s="143"/>
      <c r="C11" s="143"/>
      <c r="D11" s="164">
        <v>24816</v>
      </c>
      <c r="E11" s="164">
        <v>26873</v>
      </c>
      <c r="F11" s="201">
        <f>E11*100/D11-100</f>
        <v>8.2890070921985881</v>
      </c>
      <c r="H11" t="s">
        <v>549</v>
      </c>
      <c r="I11" s="160"/>
    </row>
    <row r="12" spans="1:9">
      <c r="A12" s="143" t="s">
        <v>191</v>
      </c>
      <c r="B12" s="143"/>
      <c r="C12" s="143"/>
      <c r="D12" s="164">
        <v>24783</v>
      </c>
      <c r="E12" s="164">
        <v>26752</v>
      </c>
      <c r="F12" s="201">
        <f>E12*100/D12-100</f>
        <v>7.9449622725255153</v>
      </c>
      <c r="G12" s="160"/>
      <c r="I12" s="160"/>
    </row>
    <row r="13" spans="1:9">
      <c r="A13" s="143" t="s">
        <v>190</v>
      </c>
      <c r="B13" s="143"/>
      <c r="C13" s="143"/>
      <c r="D13" s="164">
        <v>24478</v>
      </c>
      <c r="E13" s="164">
        <v>26278</v>
      </c>
      <c r="F13" s="201">
        <f>E13*100/D13-100</f>
        <v>7.3535419560421644</v>
      </c>
      <c r="G13" s="160"/>
      <c r="I13" s="160"/>
    </row>
    <row r="14" spans="1:9">
      <c r="A14" s="143" t="s">
        <v>184</v>
      </c>
      <c r="B14" s="143"/>
      <c r="C14" s="143"/>
      <c r="D14" s="164">
        <v>24443</v>
      </c>
      <c r="E14" s="164">
        <v>26139</v>
      </c>
      <c r="F14" s="201">
        <f>E14*100/D14-100</f>
        <v>6.9385918258806214</v>
      </c>
      <c r="I14" s="160"/>
    </row>
    <row r="15" spans="1:9">
      <c r="A15" s="143" t="s">
        <v>186</v>
      </c>
      <c r="B15" s="143"/>
      <c r="C15" s="143"/>
      <c r="D15" s="164">
        <v>23952</v>
      </c>
      <c r="E15" s="164">
        <v>25799</v>
      </c>
      <c r="F15" s="201">
        <f t="shared" si="0"/>
        <v>7.7112558450233735</v>
      </c>
      <c r="G15" s="160"/>
    </row>
    <row r="17" spans="1:12">
      <c r="A17" s="436" t="s">
        <v>745</v>
      </c>
      <c r="B17" s="436"/>
    </row>
    <row r="20" spans="1:12">
      <c r="J20" s="232" t="s">
        <v>0</v>
      </c>
      <c r="K20" s="232"/>
      <c r="L20" s="232"/>
    </row>
    <row r="41" spans="1:7">
      <c r="A41" s="75" t="s">
        <v>372</v>
      </c>
      <c r="B41" s="75"/>
      <c r="C41" s="10"/>
    </row>
    <row r="42" spans="1:7">
      <c r="A42" t="s">
        <v>0</v>
      </c>
    </row>
    <row r="43" spans="1:7">
      <c r="A43" s="748" t="s">
        <v>355</v>
      </c>
      <c r="B43" s="748"/>
      <c r="C43" s="748"/>
      <c r="D43" s="748">
        <v>2022</v>
      </c>
      <c r="E43" s="748">
        <v>2023</v>
      </c>
      <c r="F43" s="748" t="s">
        <v>403</v>
      </c>
      <c r="G43" s="748"/>
    </row>
    <row r="44" spans="1:7">
      <c r="A44" s="638"/>
      <c r="B44" s="638"/>
      <c r="C44" s="638"/>
      <c r="D44" s="638"/>
      <c r="E44" s="638"/>
      <c r="F44" s="638"/>
      <c r="G44" s="638"/>
    </row>
    <row r="45" spans="1:7">
      <c r="A45" s="638" t="s">
        <v>186</v>
      </c>
      <c r="B45" s="638"/>
      <c r="C45" s="638"/>
      <c r="D45" s="749">
        <v>23952</v>
      </c>
      <c r="E45" s="749">
        <v>25799</v>
      </c>
      <c r="F45" s="750">
        <f>E45*100/D45-100</f>
        <v>7.7112558450233735</v>
      </c>
      <c r="G45" s="638"/>
    </row>
    <row r="46" spans="1:7">
      <c r="A46" s="638" t="s">
        <v>184</v>
      </c>
      <c r="B46" s="638"/>
      <c r="C46" s="638"/>
      <c r="D46" s="749">
        <v>24443</v>
      </c>
      <c r="E46" s="749">
        <v>26139</v>
      </c>
      <c r="F46" s="750">
        <f>E46*100/D46-100</f>
        <v>6.9385918258806214</v>
      </c>
      <c r="G46" s="638"/>
    </row>
    <row r="47" spans="1:7">
      <c r="A47" s="638" t="s">
        <v>190</v>
      </c>
      <c r="B47" s="638"/>
      <c r="C47" s="638"/>
      <c r="D47" s="749">
        <v>24478</v>
      </c>
      <c r="E47" s="749">
        <v>26278</v>
      </c>
      <c r="F47" s="750">
        <f>E47*100/D47-100</f>
        <v>7.3535419560421644</v>
      </c>
      <c r="G47" s="638"/>
    </row>
    <row r="48" spans="1:7">
      <c r="A48" s="638" t="s">
        <v>191</v>
      </c>
      <c r="B48" s="638"/>
      <c r="C48" s="638"/>
      <c r="D48" s="749">
        <v>24783</v>
      </c>
      <c r="E48" s="749">
        <v>26752</v>
      </c>
      <c r="F48" s="750">
        <f>E48*100/D48-100</f>
        <v>7.9449622725255153</v>
      </c>
      <c r="G48" s="638"/>
    </row>
    <row r="49" spans="1:7">
      <c r="A49" s="638" t="s">
        <v>185</v>
      </c>
      <c r="B49" s="638"/>
      <c r="C49" s="638"/>
      <c r="D49" s="749">
        <v>24816</v>
      </c>
      <c r="E49" s="749">
        <v>26873</v>
      </c>
      <c r="F49" s="750">
        <f>E49*100/D49-100</f>
        <v>8.2890070921985881</v>
      </c>
      <c r="G49" s="638"/>
    </row>
    <row r="50" spans="1:7">
      <c r="A50" s="638" t="s">
        <v>197</v>
      </c>
      <c r="B50" s="638"/>
      <c r="C50" s="638"/>
      <c r="D50" s="749">
        <v>25677</v>
      </c>
      <c r="E50" s="749">
        <v>27649</v>
      </c>
      <c r="F50" s="750">
        <f t="shared" ref="F50:F51" si="1">E50*100/D50-100</f>
        <v>7.6800249250301817</v>
      </c>
      <c r="G50" s="638"/>
    </row>
    <row r="51" spans="1:7">
      <c r="A51" s="748" t="s">
        <v>25</v>
      </c>
      <c r="B51" s="748"/>
      <c r="C51" s="748"/>
      <c r="D51" s="751">
        <v>25860</v>
      </c>
      <c r="E51" s="751">
        <v>27758</v>
      </c>
      <c r="F51" s="752">
        <f t="shared" si="1"/>
        <v>7.3395204949729305</v>
      </c>
      <c r="G51" s="638"/>
    </row>
    <row r="52" spans="1:7">
      <c r="A52" s="638" t="s">
        <v>187</v>
      </c>
      <c r="B52" s="638"/>
      <c r="C52" s="638"/>
      <c r="D52" s="749">
        <v>25978</v>
      </c>
      <c r="E52" s="749">
        <v>28196</v>
      </c>
      <c r="F52" s="750">
        <f>E52*100/D52-100</f>
        <v>8.5379936869658906</v>
      </c>
      <c r="G52" s="638"/>
    </row>
    <row r="53" spans="1:7">
      <c r="A53" s="638" t="s">
        <v>198</v>
      </c>
      <c r="B53" s="638"/>
      <c r="C53" s="638"/>
      <c r="D53" s="749">
        <v>26222</v>
      </c>
      <c r="E53" s="749">
        <v>28271</v>
      </c>
      <c r="F53" s="750">
        <f>E53*100/D53-100</f>
        <v>7.8140492716039915</v>
      </c>
      <c r="G53" s="638"/>
    </row>
    <row r="54" spans="1:7">
      <c r="A54" s="638" t="s">
        <v>505</v>
      </c>
      <c r="B54" s="638"/>
      <c r="C54" s="638"/>
      <c r="D54" s="638"/>
      <c r="E54" s="638"/>
      <c r="F54" s="638"/>
      <c r="G54" s="638"/>
    </row>
  </sheetData>
  <customSheetViews>
    <customSheetView guid="{00BB8FC3-0B7F-4485-B1CD-FF164EC3970C}" fitToPage="1">
      <selection activeCell="O23" sqref="O23"/>
      <pageMargins left="0.7" right="0.7" top="0.78740157499999996" bottom="0.78740157499999996" header="0.3" footer="0.3"/>
      <pageSetup scale="48" orientation="portrait" r:id="rId1"/>
    </customSheetView>
    <customSheetView guid="{5DDDE19F-F10F-4514-A83C-F71CDD7BE512}" fitToPage="1">
      <selection activeCell="O23" sqref="O23"/>
      <pageMargins left="0.7" right="0.7" top="0.78740157499999996" bottom="0.78740157499999996" header="0.3" footer="0.3"/>
      <pageSetup scale="48" orientation="portrait" r:id="rId2"/>
    </customSheetView>
    <customSheetView guid="{9A6D0F5E-68D7-4772-8712-9975EE0A4B2C}" fitToPage="1">
      <selection activeCell="O23" sqref="O23"/>
      <pageMargins left="0.7" right="0.7" top="0.78740157499999996" bottom="0.78740157499999996" header="0.3" footer="0.3"/>
      <pageSetup scale="48" orientation="portrait" r:id="rId3"/>
    </customSheetView>
  </customSheetViews>
  <mergeCells count="1">
    <mergeCell ref="A1:B1"/>
  </mergeCells>
  <pageMargins left="0.7" right="0.7" top="0.78740157499999996" bottom="0.78740157499999996" header="0.3" footer="0.3"/>
  <pageSetup scale="42" orientation="landscape" r:id="rId4"/>
  <drawing r:id="rId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64"/>
  <sheetViews>
    <sheetView topLeftCell="A14" workbookViewId="0">
      <selection activeCell="F32" sqref="F32"/>
    </sheetView>
  </sheetViews>
  <sheetFormatPr baseColWidth="10" defaultRowHeight="15"/>
  <cols>
    <col min="1" max="1" width="43.140625" customWidth="1"/>
    <col min="2" max="4" width="10.85546875"/>
    <col min="5" max="5" width="55.42578125" customWidth="1"/>
    <col min="6" max="6" width="12.85546875" customWidth="1"/>
  </cols>
  <sheetData>
    <row r="1" spans="1:6" ht="39.75" customHeight="1">
      <c r="A1" s="796" t="s">
        <v>220</v>
      </c>
      <c r="B1" s="796"/>
      <c r="C1" s="5"/>
    </row>
    <row r="2" spans="1:6">
      <c r="A2" s="5"/>
      <c r="B2" s="5"/>
      <c r="C2" s="5"/>
    </row>
    <row r="3" spans="1:6">
      <c r="A3" s="172" t="s">
        <v>697</v>
      </c>
      <c r="B3" s="94"/>
      <c r="C3" s="94"/>
    </row>
    <row r="4" spans="1:6">
      <c r="A4" s="5"/>
      <c r="B4" s="5"/>
      <c r="C4" s="5"/>
    </row>
    <row r="5" spans="1:6">
      <c r="A5" s="5"/>
      <c r="B5" s="112" t="s">
        <v>0</v>
      </c>
      <c r="C5" s="113"/>
    </row>
    <row r="6" spans="1:6">
      <c r="A6" s="160" t="s">
        <v>472</v>
      </c>
      <c r="B6" s="164">
        <v>1518</v>
      </c>
      <c r="C6" s="98"/>
    </row>
    <row r="7" spans="1:6">
      <c r="A7" s="160" t="s">
        <v>473</v>
      </c>
      <c r="B7" s="164">
        <v>1138</v>
      </c>
      <c r="C7" s="98"/>
    </row>
    <row r="8" spans="1:6">
      <c r="A8" s="160" t="s">
        <v>474</v>
      </c>
      <c r="B8" s="164">
        <v>97</v>
      </c>
      <c r="C8" s="98"/>
    </row>
    <row r="9" spans="1:6">
      <c r="A9" s="160" t="s">
        <v>475</v>
      </c>
      <c r="B9" s="164">
        <v>80</v>
      </c>
      <c r="C9" s="98"/>
    </row>
    <row r="10" spans="1:6">
      <c r="A10" s="160" t="s">
        <v>476</v>
      </c>
      <c r="B10" s="164">
        <v>42</v>
      </c>
      <c r="C10" s="98"/>
    </row>
    <row r="11" spans="1:6">
      <c r="A11" s="160" t="s">
        <v>477</v>
      </c>
      <c r="B11" s="164">
        <v>556</v>
      </c>
      <c r="C11" s="98"/>
    </row>
    <row r="12" spans="1:6">
      <c r="A12" s="405" t="s">
        <v>47</v>
      </c>
      <c r="B12" s="464">
        <f>SUM(B6:B11)</f>
        <v>3431</v>
      </c>
      <c r="C12" s="114"/>
    </row>
    <row r="13" spans="1:6">
      <c r="A13" s="160"/>
      <c r="B13" s="160"/>
      <c r="C13" s="160"/>
    </row>
    <row r="14" spans="1:6">
      <c r="A14" s="143" t="s">
        <v>513</v>
      </c>
      <c r="B14" s="230"/>
      <c r="C14" s="231"/>
    </row>
    <row r="15" spans="1:6">
      <c r="C15" s="33"/>
      <c r="E15" s="172" t="s">
        <v>698</v>
      </c>
      <c r="F15" s="33"/>
    </row>
    <row r="16" spans="1:6">
      <c r="A16" s="160" t="s">
        <v>502</v>
      </c>
      <c r="C16" s="113"/>
      <c r="E16" s="160"/>
      <c r="F16" s="137"/>
    </row>
    <row r="17" spans="1:10">
      <c r="C17" s="33"/>
      <c r="E17" s="160" t="s">
        <v>478</v>
      </c>
      <c r="F17" s="585">
        <v>0.54</v>
      </c>
    </row>
    <row r="18" spans="1:10">
      <c r="C18" s="33"/>
      <c r="E18" s="160" t="s">
        <v>479</v>
      </c>
      <c r="F18" s="585">
        <v>0.28999999999999998</v>
      </c>
    </row>
    <row r="19" spans="1:10">
      <c r="A19" s="485" t="s">
        <v>522</v>
      </c>
      <c r="B19" s="485"/>
      <c r="C19" s="33"/>
      <c r="E19" s="160" t="s">
        <v>538</v>
      </c>
      <c r="F19" s="585">
        <v>9.9000000000000005E-2</v>
      </c>
    </row>
    <row r="20" spans="1:10">
      <c r="A20" s="300"/>
      <c r="B20" s="300"/>
      <c r="C20" s="33"/>
      <c r="E20" s="160" t="s">
        <v>539</v>
      </c>
      <c r="F20" s="585">
        <v>0.05</v>
      </c>
    </row>
    <row r="21" spans="1:10">
      <c r="A21" s="583" t="s">
        <v>523</v>
      </c>
      <c r="B21" s="584">
        <v>0.47</v>
      </c>
      <c r="C21" s="33"/>
      <c r="E21" t="s">
        <v>540</v>
      </c>
      <c r="F21" s="585">
        <v>2.1000000000000001E-2</v>
      </c>
    </row>
    <row r="22" spans="1:10">
      <c r="A22" s="300" t="s">
        <v>524</v>
      </c>
      <c r="B22" s="584">
        <v>0.31</v>
      </c>
      <c r="C22" s="116"/>
    </row>
    <row r="23" spans="1:10">
      <c r="A23" s="300" t="s">
        <v>525</v>
      </c>
      <c r="B23" s="584">
        <v>0.33</v>
      </c>
      <c r="C23" s="33"/>
      <c r="E23" s="503" t="s">
        <v>541</v>
      </c>
      <c r="F23" s="130"/>
      <c r="G23" s="130"/>
      <c r="H23" s="398" t="s">
        <v>0</v>
      </c>
      <c r="I23" s="398"/>
      <c r="J23" s="398"/>
    </row>
    <row r="24" spans="1:10">
      <c r="A24" s="300" t="s">
        <v>526</v>
      </c>
      <c r="B24" s="584">
        <v>7.0000000000000007E-2</v>
      </c>
      <c r="C24" s="33"/>
    </row>
    <row r="25" spans="1:10">
      <c r="A25" s="300" t="s">
        <v>527</v>
      </c>
      <c r="B25" s="584">
        <v>0.1</v>
      </c>
      <c r="C25" s="84"/>
      <c r="E25" s="172" t="s">
        <v>480</v>
      </c>
      <c r="F25" s="33"/>
    </row>
    <row r="26" spans="1:10">
      <c r="A26" s="300" t="s">
        <v>528</v>
      </c>
      <c r="B26" s="584">
        <v>0.11</v>
      </c>
      <c r="C26" s="33"/>
      <c r="E26" s="160"/>
      <c r="F26" s="136"/>
    </row>
    <row r="27" spans="1:10">
      <c r="A27" s="300" t="s">
        <v>529</v>
      </c>
      <c r="B27" s="584">
        <v>0.11</v>
      </c>
      <c r="C27" s="84"/>
      <c r="E27" s="160" t="s">
        <v>481</v>
      </c>
      <c r="F27" s="164">
        <v>1033</v>
      </c>
    </row>
    <row r="28" spans="1:10">
      <c r="A28" s="300" t="s">
        <v>530</v>
      </c>
      <c r="B28" s="584">
        <v>0.04</v>
      </c>
      <c r="C28" s="33"/>
      <c r="E28" s="160" t="s">
        <v>482</v>
      </c>
      <c r="F28" s="164">
        <v>2555</v>
      </c>
    </row>
    <row r="29" spans="1:10">
      <c r="A29" s="300"/>
      <c r="B29" s="245"/>
      <c r="C29" s="185"/>
      <c r="E29" s="130" t="s">
        <v>531</v>
      </c>
      <c r="F29" s="586" t="s">
        <v>0</v>
      </c>
    </row>
    <row r="30" spans="1:10">
      <c r="A30" s="486" t="s">
        <v>514</v>
      </c>
      <c r="B30" s="300"/>
      <c r="E30" s="130" t="s">
        <v>623</v>
      </c>
      <c r="F30" s="300">
        <v>3.2</v>
      </c>
      <c r="H30" s="130" t="s">
        <v>0</v>
      </c>
      <c r="I30" s="130"/>
    </row>
    <row r="31" spans="1:10">
      <c r="A31" s="486" t="s">
        <v>532</v>
      </c>
      <c r="B31" s="300"/>
      <c r="E31" s="130" t="s">
        <v>624</v>
      </c>
      <c r="F31" s="300">
        <v>3.9</v>
      </c>
    </row>
    <row r="32" spans="1:10">
      <c r="A32" s="211"/>
    </row>
    <row r="33" spans="1:10">
      <c r="E33" s="503" t="s">
        <v>545</v>
      </c>
      <c r="H33" s="232" t="s">
        <v>0</v>
      </c>
      <c r="I33" s="232"/>
      <c r="J33" s="232"/>
    </row>
    <row r="34" spans="1:10">
      <c r="A34" s="504"/>
      <c r="B34" s="218"/>
      <c r="C34" s="218"/>
      <c r="D34" s="218"/>
      <c r="E34" s="103"/>
      <c r="F34" s="2"/>
    </row>
    <row r="35" spans="1:10">
      <c r="A35" s="218"/>
      <c r="B35" s="218"/>
      <c r="C35" s="218"/>
      <c r="D35" s="218"/>
      <c r="E35" s="103"/>
      <c r="F35" s="2"/>
    </row>
    <row r="36" spans="1:10">
      <c r="A36" s="218"/>
      <c r="B36" s="218"/>
      <c r="C36" s="218"/>
      <c r="D36" s="218"/>
      <c r="E36" s="2"/>
      <c r="F36" s="2"/>
    </row>
    <row r="37" spans="1:10">
      <c r="A37" s="218"/>
      <c r="B37" s="218"/>
      <c r="C37" s="218"/>
      <c r="D37" s="218"/>
      <c r="E37" s="2"/>
      <c r="F37" s="2"/>
    </row>
    <row r="38" spans="1:10">
      <c r="A38" s="218"/>
      <c r="B38" s="225"/>
      <c r="C38" s="218"/>
      <c r="D38" s="218"/>
      <c r="E38" s="218"/>
      <c r="F38" s="2"/>
    </row>
    <row r="39" spans="1:10">
      <c r="A39" s="218"/>
      <c r="B39" s="225"/>
      <c r="C39" s="218"/>
      <c r="D39" s="218"/>
      <c r="E39" s="218"/>
      <c r="F39" s="2"/>
    </row>
    <row r="40" spans="1:10">
      <c r="A40" s="218"/>
      <c r="B40" s="218"/>
      <c r="C40" s="218"/>
      <c r="D40" s="218"/>
      <c r="E40" s="218"/>
      <c r="F40" s="2"/>
    </row>
    <row r="41" spans="1:10">
      <c r="A41" s="218"/>
      <c r="B41" s="218"/>
      <c r="C41" s="218"/>
      <c r="D41" s="218"/>
      <c r="E41" s="218"/>
      <c r="F41" s="2"/>
    </row>
    <row r="42" spans="1:10">
      <c r="A42" s="218"/>
      <c r="B42" s="218"/>
      <c r="C42" s="218"/>
      <c r="D42" s="218"/>
      <c r="E42" s="218"/>
      <c r="F42" s="2"/>
    </row>
    <row r="43" spans="1:10">
      <c r="A43" s="218"/>
      <c r="B43" s="225"/>
      <c r="C43" s="218"/>
      <c r="D43" s="218"/>
      <c r="E43" s="218"/>
      <c r="F43" s="2"/>
    </row>
    <row r="44" spans="1:10">
      <c r="A44" s="218"/>
      <c r="B44" s="225"/>
      <c r="C44" s="218"/>
      <c r="D44" s="218"/>
      <c r="E44" s="218"/>
      <c r="F44" s="2"/>
    </row>
    <row r="45" spans="1:10">
      <c r="A45" s="218"/>
      <c r="B45" s="218"/>
      <c r="C45" s="218"/>
      <c r="D45" s="218"/>
      <c r="E45" s="218"/>
      <c r="F45" s="2"/>
      <c r="H45" s="2"/>
    </row>
    <row r="46" spans="1:10">
      <c r="A46" s="505"/>
      <c r="B46" s="218"/>
      <c r="C46" s="218"/>
      <c r="D46" s="218"/>
      <c r="E46" s="218"/>
      <c r="F46" s="2"/>
    </row>
    <row r="47" spans="1:10">
      <c r="A47" s="218"/>
      <c r="B47" s="218"/>
      <c r="C47" s="218"/>
      <c r="D47" s="218"/>
      <c r="E47" s="218"/>
      <c r="F47" s="2"/>
    </row>
    <row r="48" spans="1:10">
      <c r="A48" s="218"/>
      <c r="B48" s="218"/>
      <c r="C48" s="218"/>
      <c r="D48" s="218"/>
      <c r="E48" s="218"/>
      <c r="F48" s="2"/>
    </row>
    <row r="49" spans="1:6">
      <c r="A49" s="218"/>
      <c r="B49" s="218"/>
      <c r="C49" s="218"/>
      <c r="D49" s="218"/>
      <c r="E49" s="218"/>
      <c r="F49" s="2"/>
    </row>
    <row r="50" spans="1:6">
      <c r="A50" s="218"/>
      <c r="B50" s="218"/>
      <c r="C50" s="218"/>
      <c r="D50" s="218"/>
      <c r="E50" s="218"/>
      <c r="F50" s="2"/>
    </row>
    <row r="51" spans="1:6">
      <c r="A51" s="218"/>
      <c r="B51" s="218"/>
      <c r="C51" s="218"/>
      <c r="D51" s="218"/>
      <c r="E51" s="218"/>
      <c r="F51" s="2"/>
    </row>
    <row r="52" spans="1:6">
      <c r="A52" s="218"/>
      <c r="B52" s="218"/>
      <c r="C52" s="218"/>
      <c r="D52" s="218"/>
      <c r="E52" s="218"/>
      <c r="F52" s="2"/>
    </row>
    <row r="53" spans="1:6">
      <c r="A53" s="218"/>
      <c r="B53" s="218"/>
      <c r="C53" s="218"/>
      <c r="D53" s="218"/>
      <c r="E53" s="218"/>
      <c r="F53" s="2"/>
    </row>
    <row r="54" spans="1:6">
      <c r="A54" s="218"/>
      <c r="B54" s="218"/>
      <c r="C54" s="218"/>
      <c r="D54" s="218"/>
      <c r="E54" s="218"/>
      <c r="F54" s="2"/>
    </row>
    <row r="55" spans="1:6">
      <c r="A55" s="218"/>
      <c r="B55" s="218"/>
      <c r="C55" s="218"/>
      <c r="D55" s="218"/>
      <c r="E55" s="218"/>
      <c r="F55" s="2"/>
    </row>
    <row r="56" spans="1:6">
      <c r="A56" s="218"/>
      <c r="B56" s="218"/>
      <c r="C56" s="218"/>
      <c r="D56" s="218"/>
      <c r="E56" s="218"/>
      <c r="F56" s="2"/>
    </row>
    <row r="57" spans="1:6">
      <c r="A57" s="218"/>
      <c r="B57" s="218"/>
      <c r="C57" s="218"/>
      <c r="D57" s="218"/>
      <c r="E57" s="218"/>
      <c r="F57" s="2"/>
    </row>
    <row r="58" spans="1:6">
      <c r="A58" s="218"/>
      <c r="B58" s="218"/>
      <c r="C58" s="218"/>
      <c r="D58" s="218"/>
      <c r="E58" s="218"/>
      <c r="F58" s="2"/>
    </row>
    <row r="59" spans="1:6">
      <c r="A59" s="218"/>
      <c r="B59" s="218"/>
      <c r="C59" s="218"/>
      <c r="D59" s="218"/>
      <c r="E59" s="218"/>
      <c r="F59" s="2"/>
    </row>
    <row r="60" spans="1:6">
      <c r="A60" s="218"/>
      <c r="B60" s="218"/>
      <c r="C60" s="218"/>
      <c r="D60" s="218"/>
      <c r="E60" s="218"/>
      <c r="F60" s="2"/>
    </row>
    <row r="61" spans="1:6">
      <c r="A61" s="102"/>
      <c r="B61" s="2"/>
      <c r="C61" s="2"/>
      <c r="D61" s="102"/>
      <c r="E61" s="2"/>
      <c r="F61" s="2"/>
    </row>
    <row r="62" spans="1:6">
      <c r="A62" s="2"/>
      <c r="B62" s="2"/>
      <c r="C62" s="2"/>
      <c r="D62" s="2"/>
      <c r="E62" s="2"/>
      <c r="F62" s="2"/>
    </row>
    <row r="63" spans="1:6">
      <c r="A63" s="506"/>
      <c r="B63" s="4"/>
      <c r="C63" s="4"/>
      <c r="D63" s="4"/>
      <c r="E63" s="4"/>
      <c r="F63" s="2"/>
    </row>
    <row r="64" spans="1:6">
      <c r="A64" s="2"/>
      <c r="B64" s="2"/>
      <c r="C64" s="2"/>
      <c r="D64" s="2"/>
      <c r="E64" s="2"/>
      <c r="F64" s="2"/>
    </row>
  </sheetData>
  <customSheetViews>
    <customSheetView guid="{00BB8FC3-0B7F-4485-B1CD-FF164EC3970C}" fitToPage="1">
      <selection activeCell="G37" sqref="G37"/>
      <pageMargins left="0.7" right="0.7" top="0.78740157499999996" bottom="0.78740157499999996" header="0.3" footer="0.3"/>
      <pageSetup paperSize="9" scale="60" orientation="portrait" r:id="rId1"/>
    </customSheetView>
    <customSheetView guid="{5DDDE19F-F10F-4514-A83C-F71CDD7BE512}" fitToPage="1">
      <selection activeCell="G37" sqref="G37"/>
      <pageMargins left="0.7" right="0.7" top="0.78740157499999996" bottom="0.78740157499999996" header="0.3" footer="0.3"/>
      <pageSetup paperSize="9" scale="60" orientation="portrait" r:id="rId2"/>
    </customSheetView>
    <customSheetView guid="{9A6D0F5E-68D7-4772-8712-9975EE0A4B2C}" fitToPage="1">
      <selection activeCell="G37" sqref="G37"/>
      <pageMargins left="0.7" right="0.7" top="0.78740157499999996" bottom="0.78740157499999996" header="0.3" footer="0.3"/>
      <pageSetup paperSize="9" scale="60" orientation="portrait" r:id="rId3"/>
    </customSheetView>
  </customSheetViews>
  <mergeCells count="1">
    <mergeCell ref="A1:B1"/>
  </mergeCells>
  <pageMargins left="0.7" right="0.7" top="0.78740157499999996" bottom="0.78740157499999996" header="0.3" footer="0.3"/>
  <pageSetup paperSize="9" scale="51" orientation="landscape" r:id="rId4"/>
  <drawing r:id="rId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H71"/>
  <sheetViews>
    <sheetView tabSelected="1" topLeftCell="A12" zoomScaleNormal="100" workbookViewId="0">
      <selection activeCell="E31" sqref="E31"/>
    </sheetView>
  </sheetViews>
  <sheetFormatPr baseColWidth="10" defaultRowHeight="15"/>
  <cols>
    <col min="1" max="1" width="20" customWidth="1"/>
    <col min="2" max="2" width="12.85546875" bestFit="1" customWidth="1"/>
    <col min="3" max="3" width="15.85546875" bestFit="1" customWidth="1"/>
    <col min="4" max="4" width="13.28515625" bestFit="1" customWidth="1"/>
    <col min="5" max="5" width="12" bestFit="1" customWidth="1"/>
    <col min="6" max="6" width="15.7109375" customWidth="1"/>
  </cols>
  <sheetData>
    <row r="1" spans="1:7" ht="39.75" customHeight="1">
      <c r="A1" s="611" t="s">
        <v>220</v>
      </c>
      <c r="B1" s="5"/>
      <c r="C1" s="5"/>
      <c r="D1" s="5"/>
      <c r="E1" s="5"/>
      <c r="F1" s="5"/>
    </row>
    <row r="2" spans="1:7">
      <c r="A2" s="5"/>
      <c r="B2" s="5"/>
      <c r="C2" s="5"/>
      <c r="D2" s="5"/>
      <c r="E2" s="5"/>
      <c r="F2" s="5"/>
    </row>
    <row r="3" spans="1:7">
      <c r="A3" s="172" t="s">
        <v>307</v>
      </c>
      <c r="B3" s="94"/>
      <c r="C3" s="94"/>
      <c r="D3" s="94"/>
      <c r="E3" s="94"/>
      <c r="F3" s="94"/>
    </row>
    <row r="4" spans="1:7">
      <c r="A4" s="5"/>
      <c r="B4" s="5"/>
      <c r="C4" s="5"/>
      <c r="D4" s="5"/>
      <c r="E4" s="5"/>
      <c r="F4" s="5"/>
    </row>
    <row r="5" spans="1:7" ht="36.75">
      <c r="A5" s="5"/>
      <c r="B5" s="112" t="s">
        <v>729</v>
      </c>
      <c r="C5" s="613" t="s">
        <v>731</v>
      </c>
      <c r="D5" s="112" t="s">
        <v>730</v>
      </c>
      <c r="E5" s="612" t="s">
        <v>731</v>
      </c>
    </row>
    <row r="6" spans="1:7">
      <c r="A6" t="s">
        <v>221</v>
      </c>
      <c r="B6" s="164">
        <v>182745</v>
      </c>
      <c r="C6" s="52">
        <v>7.3</v>
      </c>
      <c r="D6" s="164">
        <v>631584</v>
      </c>
      <c r="E6" s="52">
        <v>4.2</v>
      </c>
      <c r="G6" s="52" t="s">
        <v>0</v>
      </c>
    </row>
    <row r="7" spans="1:7">
      <c r="A7" t="s">
        <v>222</v>
      </c>
      <c r="B7" s="164">
        <v>49155</v>
      </c>
      <c r="C7" s="52">
        <v>-1.4</v>
      </c>
      <c r="D7" s="164">
        <v>143030</v>
      </c>
      <c r="E7" s="52">
        <v>-4.5999999999999996</v>
      </c>
      <c r="G7" s="52"/>
    </row>
    <row r="8" spans="1:7">
      <c r="A8" t="s">
        <v>223</v>
      </c>
      <c r="B8" s="164">
        <v>491728</v>
      </c>
      <c r="C8" s="52">
        <v>11</v>
      </c>
      <c r="D8" s="164">
        <v>976824</v>
      </c>
      <c r="E8" s="52">
        <v>9</v>
      </c>
      <c r="G8" s="52"/>
    </row>
    <row r="9" spans="1:7">
      <c r="A9" t="s">
        <v>156</v>
      </c>
      <c r="B9" s="164">
        <v>239980</v>
      </c>
      <c r="C9" s="52">
        <v>3</v>
      </c>
      <c r="D9" s="164">
        <v>891832</v>
      </c>
      <c r="E9" s="52">
        <v>3.2</v>
      </c>
      <c r="F9" s="52"/>
      <c r="G9" s="52"/>
    </row>
    <row r="10" spans="1:7">
      <c r="A10" t="s">
        <v>159</v>
      </c>
      <c r="B10" s="164">
        <v>184041</v>
      </c>
      <c r="C10" s="52">
        <v>1.7</v>
      </c>
      <c r="D10" s="164">
        <v>916849</v>
      </c>
      <c r="E10" s="52">
        <v>-0.5</v>
      </c>
      <c r="G10" s="52"/>
    </row>
    <row r="11" spans="1:7">
      <c r="A11" t="s">
        <v>157</v>
      </c>
      <c r="B11" s="164">
        <v>254763</v>
      </c>
      <c r="C11" s="52">
        <v>8.8000000000000007</v>
      </c>
      <c r="D11" s="164">
        <v>918050</v>
      </c>
      <c r="E11" s="52">
        <v>7.1</v>
      </c>
      <c r="G11" s="52"/>
    </row>
    <row r="12" spans="1:7">
      <c r="B12" s="87">
        <f>SUM(B6:B11)</f>
        <v>1402412</v>
      </c>
      <c r="C12" s="84">
        <f>B12*100/1311380-100</f>
        <v>6.9416950083118536</v>
      </c>
      <c r="D12" s="87">
        <f>SUM(D6:D11)</f>
        <v>4478169</v>
      </c>
      <c r="E12" s="84">
        <f>D12*100/4296353-100</f>
        <v>4.2318682845660049</v>
      </c>
      <c r="G12" s="52"/>
    </row>
    <row r="14" spans="1:7" ht="36.75">
      <c r="B14" s="115" t="s">
        <v>732</v>
      </c>
      <c r="C14" s="613" t="s">
        <v>731</v>
      </c>
      <c r="D14" s="115" t="s">
        <v>734</v>
      </c>
      <c r="E14" s="613" t="s">
        <v>733</v>
      </c>
    </row>
    <row r="15" spans="1:7">
      <c r="A15" t="s">
        <v>221</v>
      </c>
      <c r="B15" s="164">
        <v>147995</v>
      </c>
      <c r="C15" s="52">
        <v>4.0999999999999996</v>
      </c>
      <c r="D15" s="164">
        <v>591903</v>
      </c>
      <c r="E15" s="644">
        <f>D15*100/505882-100</f>
        <v>17.004163026160256</v>
      </c>
      <c r="F15" t="s">
        <v>0</v>
      </c>
    </row>
    <row r="16" spans="1:7">
      <c r="A16" t="s">
        <v>222</v>
      </c>
      <c r="B16" s="164">
        <v>148742</v>
      </c>
      <c r="C16" s="52">
        <v>1</v>
      </c>
      <c r="D16" s="164">
        <v>752114</v>
      </c>
      <c r="E16" s="644">
        <f>D16*100/644299-100</f>
        <v>16.73369041392273</v>
      </c>
    </row>
    <row r="17" spans="1:5">
      <c r="A17" t="s">
        <v>223</v>
      </c>
      <c r="B17" s="164">
        <v>282496</v>
      </c>
      <c r="C17" s="52">
        <v>11.1</v>
      </c>
      <c r="D17" s="164">
        <v>547392</v>
      </c>
      <c r="E17" s="644">
        <f>D17*100/370312-100</f>
        <v>47.819136295880242</v>
      </c>
    </row>
    <row r="18" spans="1:5">
      <c r="A18" t="s">
        <v>156</v>
      </c>
      <c r="B18" s="164">
        <v>242377</v>
      </c>
      <c r="C18" s="52">
        <v>3.4</v>
      </c>
      <c r="D18" s="164">
        <v>983886</v>
      </c>
      <c r="E18" s="644">
        <f>D18*100/856160-100</f>
        <v>14.918473182582701</v>
      </c>
    </row>
    <row r="19" spans="1:5">
      <c r="A19" t="s">
        <v>159</v>
      </c>
      <c r="B19" s="164">
        <v>153189</v>
      </c>
      <c r="C19" s="52">
        <v>3</v>
      </c>
      <c r="D19" s="164">
        <v>758487</v>
      </c>
      <c r="E19" s="644">
        <f>D19*100/703132-100</f>
        <v>7.8726327346785467</v>
      </c>
    </row>
    <row r="20" spans="1:5">
      <c r="A20" t="s">
        <v>157</v>
      </c>
      <c r="B20" s="164">
        <v>303691</v>
      </c>
      <c r="C20" s="52">
        <v>5.6</v>
      </c>
      <c r="D20" s="164">
        <v>1314115</v>
      </c>
      <c r="E20" s="644">
        <f>D20*100/1013100-100</f>
        <v>29.712269272529852</v>
      </c>
    </row>
    <row r="21" spans="1:5">
      <c r="B21" s="87">
        <f>SUM(B15:B20)</f>
        <v>1278490</v>
      </c>
      <c r="C21" s="84">
        <f>B21*100/1214490-100</f>
        <v>5.2697016854811523</v>
      </c>
      <c r="D21" s="87">
        <f>SUM(D15:D20)</f>
        <v>4947897</v>
      </c>
      <c r="E21" s="710">
        <f>D21*100/4812118-100</f>
        <v>2.8216057877217509</v>
      </c>
    </row>
    <row r="24" spans="1:5">
      <c r="A24" s="172" t="s">
        <v>460</v>
      </c>
      <c r="B24" s="33"/>
      <c r="C24" s="33"/>
      <c r="D24" s="33"/>
    </row>
    <row r="26" spans="1:5" ht="36.75">
      <c r="B26" s="137" t="s">
        <v>729</v>
      </c>
      <c r="C26" s="612" t="s">
        <v>731</v>
      </c>
      <c r="D26" s="137" t="s">
        <v>730</v>
      </c>
      <c r="E26" s="612" t="s">
        <v>731</v>
      </c>
    </row>
    <row r="27" spans="1:5">
      <c r="A27" t="s">
        <v>217</v>
      </c>
      <c r="B27" s="164">
        <v>755607</v>
      </c>
      <c r="C27" s="52">
        <f>B27*100/721889-100</f>
        <v>4.6708011896565864</v>
      </c>
      <c r="D27" s="164">
        <v>2672664</v>
      </c>
      <c r="E27" s="645">
        <f>D27*100/2601626-100</f>
        <v>2.7305231420657634</v>
      </c>
    </row>
    <row r="28" spans="1:5">
      <c r="A28" t="s">
        <v>68</v>
      </c>
      <c r="B28" s="164">
        <v>265238</v>
      </c>
      <c r="C28" s="52">
        <f>B28*100/255204-100</f>
        <v>3.9317565555398772</v>
      </c>
      <c r="D28" s="164">
        <v>584232</v>
      </c>
      <c r="E28" s="645">
        <f>D28*100/578687-100</f>
        <v>0.95820365759037429</v>
      </c>
    </row>
    <row r="29" spans="1:5">
      <c r="A29" t="s">
        <v>224</v>
      </c>
      <c r="B29" s="164">
        <v>168983</v>
      </c>
      <c r="C29" s="52">
        <f>B29*100/152357-100</f>
        <v>10.912527812965607</v>
      </c>
      <c r="D29" s="164">
        <v>461245</v>
      </c>
      <c r="E29" s="645">
        <f>D29*100/419187-100</f>
        <v>10.033230992373333</v>
      </c>
    </row>
    <row r="30" spans="1:5">
      <c r="A30" t="s">
        <v>225</v>
      </c>
      <c r="B30" s="164">
        <v>60699</v>
      </c>
      <c r="C30" s="52">
        <f>B30*100/57252-100</f>
        <v>6.0207503667994189</v>
      </c>
      <c r="D30" s="164">
        <v>320515</v>
      </c>
      <c r="E30" s="645">
        <f>D30*100/306600-100</f>
        <v>4.5384866275277176</v>
      </c>
    </row>
    <row r="31" spans="1:5">
      <c r="A31" t="s">
        <v>292</v>
      </c>
      <c r="B31" s="164">
        <v>27913</v>
      </c>
      <c r="C31" s="52">
        <f>B31*100/23506-100</f>
        <v>18.748404662639331</v>
      </c>
      <c r="D31" s="164">
        <v>85283</v>
      </c>
      <c r="E31" s="645">
        <f>D31*100/75816-100</f>
        <v>12.486810171995359</v>
      </c>
    </row>
    <row r="32" spans="1:5">
      <c r="A32" t="s">
        <v>735</v>
      </c>
      <c r="B32" s="164">
        <v>15355</v>
      </c>
      <c r="C32" s="52">
        <f>B32*100/14182-100</f>
        <v>8.2710478070793982</v>
      </c>
      <c r="D32" s="164">
        <v>80994</v>
      </c>
      <c r="E32" s="645">
        <f>D32*100/75072-100</f>
        <v>7.8884271099744296</v>
      </c>
    </row>
    <row r="33" spans="1:8" s="160" customFormat="1">
      <c r="B33" s="92"/>
      <c r="C33" s="33"/>
      <c r="D33" s="92"/>
      <c r="E33" s="33"/>
    </row>
    <row r="34" spans="1:8">
      <c r="A34" t="s">
        <v>14</v>
      </c>
    </row>
    <row r="35" spans="1:8" s="160" customFormat="1"/>
    <row r="36" spans="1:8" s="160" customFormat="1">
      <c r="A36" s="172" t="s">
        <v>460</v>
      </c>
      <c r="B36" s="33"/>
      <c r="C36" s="33"/>
      <c r="D36" s="33"/>
    </row>
    <row r="37" spans="1:8" ht="36.75">
      <c r="B37" s="136" t="s">
        <v>732</v>
      </c>
      <c r="C37" s="613" t="s">
        <v>733</v>
      </c>
      <c r="D37" s="136" t="s">
        <v>734</v>
      </c>
      <c r="E37" s="613" t="s">
        <v>731</v>
      </c>
      <c r="F37" s="6"/>
    </row>
    <row r="38" spans="1:8">
      <c r="A38" t="s">
        <v>217</v>
      </c>
      <c r="B38" s="164">
        <v>695309</v>
      </c>
      <c r="C38" s="557">
        <f>B38*100/665274-100</f>
        <v>4.5146811689619568</v>
      </c>
      <c r="D38" s="164">
        <v>2822248</v>
      </c>
      <c r="E38" s="644">
        <f>D38*100/2752794-100</f>
        <v>2.5230365948196578</v>
      </c>
      <c r="F38" s="6"/>
    </row>
    <row r="39" spans="1:8">
      <c r="A39" t="s">
        <v>225</v>
      </c>
      <c r="B39" s="164">
        <v>95532</v>
      </c>
      <c r="C39" s="557">
        <f>B39*100/89575-100</f>
        <v>6.6502930505163249</v>
      </c>
      <c r="D39" s="164">
        <v>524751</v>
      </c>
      <c r="E39" s="644">
        <f>D39*100/500434-100</f>
        <v>4.859182229824512</v>
      </c>
      <c r="F39" s="6"/>
    </row>
    <row r="40" spans="1:8">
      <c r="A40" t="s">
        <v>224</v>
      </c>
      <c r="B40" s="164">
        <v>160129</v>
      </c>
      <c r="C40" s="557">
        <f>B40*100/150283-100</f>
        <v>6.5516392406326673</v>
      </c>
      <c r="D40" s="164">
        <v>517657</v>
      </c>
      <c r="E40" s="644">
        <f>D40*100/494476-100</f>
        <v>4.6879929460681637</v>
      </c>
      <c r="F40" s="749" t="s">
        <v>546</v>
      </c>
      <c r="G40" s="638"/>
      <c r="H40" s="638"/>
    </row>
    <row r="41" spans="1:8">
      <c r="A41" t="s">
        <v>68</v>
      </c>
      <c r="B41" s="164">
        <v>172088</v>
      </c>
      <c r="C41" s="557">
        <f>B41*100/168420-100</f>
        <v>2.177888611803823</v>
      </c>
      <c r="D41" s="164">
        <v>433727</v>
      </c>
      <c r="E41" s="644">
        <f>D41*100/434794-100</f>
        <v>-0.24540357042646121</v>
      </c>
      <c r="F41" s="6"/>
    </row>
    <row r="42" spans="1:8">
      <c r="A42" t="s">
        <v>277</v>
      </c>
      <c r="B42" s="164">
        <v>20137</v>
      </c>
      <c r="C42" s="557">
        <f>B42*100/20693-100</f>
        <v>-2.6868989513362038</v>
      </c>
      <c r="D42" s="164">
        <v>109645</v>
      </c>
      <c r="E42" s="644">
        <f>D42*100/114895-100</f>
        <v>-4.5693894425344865</v>
      </c>
      <c r="F42" s="6"/>
    </row>
    <row r="43" spans="1:8">
      <c r="A43" t="s">
        <v>292</v>
      </c>
      <c r="B43" s="164">
        <v>22260</v>
      </c>
      <c r="C43" s="557">
        <f>B43*100/20667-100</f>
        <v>7.707940194512986</v>
      </c>
      <c r="D43" s="164">
        <v>89966</v>
      </c>
      <c r="E43" s="644">
        <f>D43*100/84407-100</f>
        <v>6.5859466631914358</v>
      </c>
      <c r="F43" s="6"/>
    </row>
    <row r="44" spans="1:8">
      <c r="B44" s="164"/>
      <c r="C44" s="185"/>
      <c r="D44" s="143"/>
      <c r="E44" s="143"/>
      <c r="F44" s="6"/>
    </row>
    <row r="45" spans="1:8">
      <c r="A45" s="5" t="s">
        <v>308</v>
      </c>
      <c r="B45" s="5"/>
      <c r="C45" s="5"/>
      <c r="D45" s="5"/>
      <c r="E45" s="5"/>
      <c r="F45" s="5"/>
    </row>
    <row r="46" spans="1:8">
      <c r="A46" s="5"/>
      <c r="B46" s="5"/>
      <c r="C46" s="5"/>
      <c r="D46" s="5"/>
      <c r="E46" s="5"/>
      <c r="F46" s="5"/>
    </row>
    <row r="47" spans="1:8" ht="36.75">
      <c r="A47" s="118"/>
      <c r="B47" s="137" t="s">
        <v>729</v>
      </c>
      <c r="C47" s="613" t="s">
        <v>733</v>
      </c>
      <c r="D47" s="137" t="s">
        <v>730</v>
      </c>
      <c r="E47" s="613" t="s">
        <v>731</v>
      </c>
    </row>
    <row r="48" spans="1:8">
      <c r="A48" s="117" t="s">
        <v>226</v>
      </c>
      <c r="B48" s="179">
        <v>184041</v>
      </c>
      <c r="C48" s="540">
        <f>B48*100/181046-100</f>
        <v>1.654275708935856</v>
      </c>
      <c r="D48" s="179">
        <v>898155</v>
      </c>
      <c r="E48" s="540">
        <f>D48*100/926902-100</f>
        <v>-3.1014066211962046</v>
      </c>
    </row>
    <row r="49" spans="1:8">
      <c r="A49" s="35" t="s">
        <v>35</v>
      </c>
      <c r="B49" s="179">
        <v>148780</v>
      </c>
      <c r="C49" s="540">
        <f>B49*100/141090-100</f>
        <v>5.4504217166347786</v>
      </c>
      <c r="D49" s="179">
        <v>236620</v>
      </c>
      <c r="E49" s="540">
        <f>D49*100/258427-100</f>
        <v>-8.4383597689095922</v>
      </c>
    </row>
    <row r="50" spans="1:8">
      <c r="A50" s="35" t="s">
        <v>228</v>
      </c>
      <c r="B50" s="179">
        <v>48242</v>
      </c>
      <c r="C50" s="540">
        <f>B50*100/48777-100</f>
        <v>-1.0968284232322674</v>
      </c>
      <c r="D50" s="179">
        <v>222266</v>
      </c>
      <c r="E50" s="540">
        <f>D50*100/184385-100</f>
        <v>20.544512839981564</v>
      </c>
    </row>
    <row r="51" spans="1:8">
      <c r="A51" s="35" t="s">
        <v>229</v>
      </c>
      <c r="B51" s="179">
        <v>55089</v>
      </c>
      <c r="C51" s="52">
        <f>B51*100/53923-100</f>
        <v>2.1623425996328081</v>
      </c>
      <c r="D51" s="179">
        <v>167475</v>
      </c>
      <c r="E51" s="540">
        <f>D51*100/152362-100</f>
        <v>9.9191399430304159</v>
      </c>
    </row>
    <row r="52" spans="1:8">
      <c r="A52" s="35" t="s">
        <v>31</v>
      </c>
      <c r="B52" s="179">
        <v>105919</v>
      </c>
      <c r="C52" s="540">
        <f>B52*100/86862-100</f>
        <v>21.939398125762708</v>
      </c>
      <c r="D52" s="179">
        <v>155840</v>
      </c>
      <c r="E52" s="540">
        <f>D52*100/160291-100</f>
        <v>-2.7768246501675122</v>
      </c>
    </row>
    <row r="53" spans="1:8">
      <c r="A53" s="35" t="s">
        <v>230</v>
      </c>
      <c r="B53" s="179">
        <v>52341</v>
      </c>
      <c r="C53" s="540">
        <f>B53*100/45166-100</f>
        <v>15.885843333480935</v>
      </c>
      <c r="D53" s="179">
        <v>154577</v>
      </c>
      <c r="E53" s="540">
        <f>D53*100/109720-100</f>
        <v>40.883157127232948</v>
      </c>
      <c r="F53" s="638" t="s">
        <v>547</v>
      </c>
      <c r="G53" s="638"/>
      <c r="H53" s="638"/>
    </row>
    <row r="54" spans="1:8">
      <c r="A54" s="35" t="s">
        <v>233</v>
      </c>
      <c r="B54" s="179">
        <v>42367</v>
      </c>
      <c r="C54" s="540">
        <f>B54*100/39710-100</f>
        <v>6.6910098212037212</v>
      </c>
      <c r="D54" s="179">
        <v>144279</v>
      </c>
      <c r="E54" s="540">
        <f>D54*100/131174-100</f>
        <v>9.9905469071614732</v>
      </c>
    </row>
    <row r="55" spans="1:8">
      <c r="A55" s="35" t="s">
        <v>33</v>
      </c>
      <c r="B55" s="179">
        <v>80704</v>
      </c>
      <c r="C55" s="540">
        <f>B55*100/73770-100</f>
        <v>9.3994848854547968</v>
      </c>
      <c r="D55" s="179">
        <v>131882</v>
      </c>
      <c r="E55" s="540">
        <f>D55*100/124970-100</f>
        <v>5.5309274225814136</v>
      </c>
    </row>
    <row r="56" spans="1:8">
      <c r="A56" s="35" t="s">
        <v>227</v>
      </c>
      <c r="B56" s="179">
        <v>49155</v>
      </c>
      <c r="C56" s="540">
        <f>B56*100/49837-100</f>
        <v>-1.3684611834580664</v>
      </c>
      <c r="D56" s="179">
        <v>129430</v>
      </c>
      <c r="E56" s="540">
        <f>D56*100/127642-100</f>
        <v>1.4007928424813088</v>
      </c>
    </row>
    <row r="57" spans="1:8">
      <c r="A57" s="34" t="s">
        <v>289</v>
      </c>
      <c r="B57" s="487">
        <v>30251</v>
      </c>
      <c r="C57" s="540">
        <f>B57*100/29792-100</f>
        <v>1.5406820622986004</v>
      </c>
      <c r="D57" s="487">
        <v>118766</v>
      </c>
      <c r="E57" s="540">
        <f>D57*100/108822-100</f>
        <v>9.1378581536821599</v>
      </c>
    </row>
    <row r="58" spans="1:8" ht="56.25" customHeight="1">
      <c r="B58" s="136" t="s">
        <v>732</v>
      </c>
      <c r="C58" s="613" t="s">
        <v>731</v>
      </c>
      <c r="D58" s="136" t="s">
        <v>734</v>
      </c>
      <c r="E58" s="613" t="s">
        <v>733</v>
      </c>
    </row>
    <row r="59" spans="1:8">
      <c r="A59" s="35" t="s">
        <v>226</v>
      </c>
      <c r="B59" s="488">
        <v>153189</v>
      </c>
      <c r="C59" s="646">
        <v>3</v>
      </c>
      <c r="D59" s="179">
        <v>758487</v>
      </c>
      <c r="E59" s="646">
        <v>1.2</v>
      </c>
    </row>
    <row r="60" spans="1:8">
      <c r="A60" s="35" t="s">
        <v>227</v>
      </c>
      <c r="B60" s="179">
        <v>148742</v>
      </c>
      <c r="C60" s="646">
        <v>1</v>
      </c>
      <c r="D60" s="179">
        <v>752114</v>
      </c>
      <c r="E60" s="646">
        <v>-0.8</v>
      </c>
    </row>
    <row r="61" spans="1:8">
      <c r="A61" s="35" t="s">
        <v>228</v>
      </c>
      <c r="B61" s="179">
        <v>87315</v>
      </c>
      <c r="C61" s="646">
        <v>3.7</v>
      </c>
      <c r="D61" s="179">
        <v>437498</v>
      </c>
      <c r="E61" s="646">
        <v>2.4</v>
      </c>
    </row>
    <row r="62" spans="1:8">
      <c r="A62" s="35" t="s">
        <v>229</v>
      </c>
      <c r="B62" s="179">
        <v>67246</v>
      </c>
      <c r="C62" s="646">
        <v>2.8</v>
      </c>
      <c r="D62" s="179">
        <v>292385</v>
      </c>
      <c r="E62" s="646">
        <v>1.7</v>
      </c>
    </row>
    <row r="63" spans="1:8">
      <c r="A63" s="35" t="s">
        <v>230</v>
      </c>
      <c r="B63" s="179">
        <v>66987</v>
      </c>
      <c r="C63" s="646">
        <v>10.5</v>
      </c>
      <c r="D63" s="179">
        <v>237461</v>
      </c>
      <c r="E63" s="646">
        <v>5.3</v>
      </c>
      <c r="F63" s="638" t="s">
        <v>547</v>
      </c>
      <c r="G63" s="638"/>
      <c r="H63" s="638"/>
    </row>
    <row r="64" spans="1:8">
      <c r="A64" s="35" t="s">
        <v>232</v>
      </c>
      <c r="B64" s="179">
        <v>46015</v>
      </c>
      <c r="C64" s="646">
        <v>11.9</v>
      </c>
      <c r="D64" s="179">
        <v>210234</v>
      </c>
      <c r="E64" s="646">
        <v>12</v>
      </c>
    </row>
    <row r="65" spans="1:5">
      <c r="A65" s="35" t="s">
        <v>231</v>
      </c>
      <c r="B65" s="179">
        <v>41888</v>
      </c>
      <c r="C65" s="646">
        <v>8</v>
      </c>
      <c r="D65" s="179">
        <v>169761</v>
      </c>
      <c r="E65" s="646">
        <v>6.6</v>
      </c>
    </row>
    <row r="66" spans="1:5">
      <c r="A66" s="35" t="s">
        <v>233</v>
      </c>
      <c r="B66" s="179">
        <v>35622</v>
      </c>
      <c r="C66" s="646">
        <v>4</v>
      </c>
      <c r="D66" s="179">
        <v>150259</v>
      </c>
      <c r="E66" s="646">
        <v>0.5</v>
      </c>
    </row>
    <row r="67" spans="1:5">
      <c r="A67" s="34" t="s">
        <v>291</v>
      </c>
      <c r="B67" s="487">
        <v>28575</v>
      </c>
      <c r="C67" s="646">
        <v>0.4</v>
      </c>
      <c r="D67" s="179">
        <v>131481</v>
      </c>
      <c r="E67" s="646">
        <v>-1.6</v>
      </c>
    </row>
    <row r="68" spans="1:5">
      <c r="A68" s="34" t="s">
        <v>290</v>
      </c>
      <c r="B68" s="179">
        <v>30075</v>
      </c>
      <c r="C68" s="646">
        <v>3.4</v>
      </c>
      <c r="D68" s="179">
        <v>125928</v>
      </c>
      <c r="E68" s="646">
        <v>2.7</v>
      </c>
    </row>
    <row r="69" spans="1:5" s="160" customFormat="1">
      <c r="A69" s="36"/>
      <c r="B69" s="193"/>
      <c r="C69" s="194"/>
      <c r="D69" s="195"/>
      <c r="E69" s="85"/>
    </row>
    <row r="70" spans="1:5">
      <c r="A70" s="75" t="s">
        <v>14</v>
      </c>
    </row>
    <row r="71" spans="1:5">
      <c r="A71" s="654" t="s">
        <v>736</v>
      </c>
      <c r="B71" s="75"/>
      <c r="C71" s="75"/>
    </row>
  </sheetData>
  <customSheetViews>
    <customSheetView guid="{00BB8FC3-0B7F-4485-B1CD-FF164EC3970C}" scale="112" showPageBreaks="1" fitToPage="1">
      <selection activeCell="I11" sqref="I11"/>
      <rowBreaks count="1" manualBreakCount="1">
        <brk id="34" max="16383" man="1"/>
      </rowBreaks>
      <pageMargins left="0.7" right="0.7" top="0.78740157499999996" bottom="0.78740157499999996" header="0.3" footer="0.3"/>
      <pageSetup paperSize="9" scale="62" orientation="portrait" r:id="rId1"/>
    </customSheetView>
    <customSheetView guid="{5DDDE19F-F10F-4514-A83C-F71CDD7BE512}" scale="112" fitToPage="1">
      <selection activeCell="H12" sqref="H12"/>
      <rowBreaks count="1" manualBreakCount="1">
        <brk id="34" max="16383" man="1"/>
      </rowBreaks>
      <pageMargins left="0.7" right="0.7" top="0.78740157499999996" bottom="0.78740157499999996" header="0.3" footer="0.3"/>
      <pageSetup paperSize="9" scale="62" orientation="portrait" r:id="rId2"/>
    </customSheetView>
    <customSheetView guid="{9A6D0F5E-68D7-4772-8712-9975EE0A4B2C}" scale="112" fitToPage="1">
      <selection activeCell="I11" sqref="I11"/>
      <rowBreaks count="1" manualBreakCount="1">
        <brk id="34" max="16383" man="1"/>
      </rowBreaks>
      <pageMargins left="0.7" right="0.7" top="0.78740157499999996" bottom="0.78740157499999996" header="0.3" footer="0.3"/>
      <pageSetup paperSize="9" scale="62" orientation="portrait" r:id="rId3"/>
    </customSheetView>
  </customSheetViews>
  <pageMargins left="0.7" right="0.7" top="0.78740157499999996" bottom="0.78740157499999996" header="0.3" footer="0.3"/>
  <pageSetup paperSize="9" scale="58" orientation="portrait" r:id="rId4"/>
  <rowBreaks count="1" manualBreakCount="1">
    <brk id="34" max="16383" man="1"/>
  </rowBreaks>
  <drawing r:id="rId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I42"/>
  <sheetViews>
    <sheetView topLeftCell="A10" zoomScaleNormal="100" workbookViewId="0">
      <selection activeCell="J25" sqref="J25"/>
    </sheetView>
  </sheetViews>
  <sheetFormatPr baseColWidth="10" defaultRowHeight="15"/>
  <cols>
    <col min="1" max="1" width="26.42578125" customWidth="1"/>
    <col min="2" max="4" width="12.7109375" customWidth="1"/>
  </cols>
  <sheetData>
    <row r="1" spans="1:9" ht="39.75" customHeight="1">
      <c r="A1" s="660" t="s">
        <v>234</v>
      </c>
      <c r="B1" s="386"/>
      <c r="C1" s="48"/>
      <c r="D1" s="427"/>
    </row>
    <row r="2" spans="1:9" ht="15.75" customHeight="1">
      <c r="A2" s="522" t="s">
        <v>235</v>
      </c>
      <c r="B2" s="522"/>
      <c r="C2" s="26"/>
      <c r="D2" s="41"/>
    </row>
    <row r="3" spans="1:9" ht="15.75">
      <c r="A3" s="22"/>
      <c r="B3" s="21"/>
      <c r="C3" s="21"/>
      <c r="D3" s="21"/>
    </row>
    <row r="4" spans="1:9" ht="15.75">
      <c r="A4" s="89"/>
      <c r="B4" s="484">
        <v>2013</v>
      </c>
      <c r="C4" s="153">
        <v>2022</v>
      </c>
      <c r="D4" s="172">
        <v>2023</v>
      </c>
      <c r="E4" s="94"/>
    </row>
    <row r="5" spans="1:9" ht="15.75">
      <c r="A5" s="154" t="s">
        <v>236</v>
      </c>
      <c r="B5" s="171">
        <v>195859</v>
      </c>
      <c r="C5" s="171">
        <v>220292</v>
      </c>
      <c r="D5" s="171">
        <v>221523</v>
      </c>
      <c r="E5" s="171"/>
    </row>
    <row r="6" spans="1:9" ht="15.75">
      <c r="A6" s="154" t="s">
        <v>324</v>
      </c>
      <c r="B6" s="171">
        <v>38799</v>
      </c>
      <c r="C6" s="171">
        <v>46322</v>
      </c>
      <c r="D6" s="171">
        <v>46886</v>
      </c>
      <c r="E6" s="171"/>
    </row>
    <row r="7" spans="1:9" ht="15.75">
      <c r="A7" s="154" t="s">
        <v>699</v>
      </c>
      <c r="B7" s="171">
        <v>17658</v>
      </c>
      <c r="C7" s="171">
        <v>23470</v>
      </c>
      <c r="D7" s="171">
        <v>23743</v>
      </c>
      <c r="E7" s="171"/>
    </row>
    <row r="8" spans="1:9" ht="15.75">
      <c r="A8" s="154" t="s">
        <v>325</v>
      </c>
      <c r="B8" s="171">
        <v>14375</v>
      </c>
      <c r="C8" s="171">
        <v>18414</v>
      </c>
      <c r="D8" s="171">
        <v>18912</v>
      </c>
      <c r="E8" s="171"/>
    </row>
    <row r="9" spans="1:9" ht="15.75">
      <c r="A9" s="21"/>
      <c r="B9" s="21"/>
      <c r="C9" s="27"/>
      <c r="D9" s="104"/>
      <c r="E9" s="33"/>
    </row>
    <row r="10" spans="1:9" ht="15.75">
      <c r="A10" s="138"/>
      <c r="B10" s="27"/>
      <c r="C10" s="62"/>
      <c r="D10" s="41"/>
      <c r="I10" s="160"/>
    </row>
    <row r="11" spans="1:9" ht="15.75">
      <c r="A11" s="41"/>
      <c r="B11" s="27"/>
      <c r="C11" s="62"/>
      <c r="D11" s="41"/>
    </row>
    <row r="12" spans="1:9" ht="15.75">
      <c r="A12" s="41"/>
      <c r="B12" s="27"/>
      <c r="C12" s="62"/>
      <c r="D12" s="41"/>
    </row>
    <row r="13" spans="1:9" ht="15.75">
      <c r="A13" s="41"/>
      <c r="B13" s="27"/>
      <c r="C13" s="62"/>
      <c r="D13" s="41"/>
    </row>
    <row r="14" spans="1:9" ht="15.75">
      <c r="A14" s="41"/>
      <c r="B14" s="27"/>
      <c r="C14" s="62"/>
      <c r="D14" s="41"/>
    </row>
    <row r="15" spans="1:9" ht="15.75">
      <c r="A15" s="41"/>
      <c r="B15" s="27"/>
      <c r="C15" s="62"/>
      <c r="D15" s="41"/>
    </row>
    <row r="16" spans="1:9" ht="15.75">
      <c r="A16" s="21"/>
      <c r="B16" s="21"/>
      <c r="C16" s="21"/>
      <c r="D16" s="41"/>
    </row>
    <row r="17" spans="1:7" ht="15.75">
      <c r="B17" s="21"/>
      <c r="C17" s="21"/>
      <c r="D17" s="41"/>
    </row>
    <row r="18" spans="1:7" ht="15.75">
      <c r="B18" s="21"/>
      <c r="C18" s="21"/>
      <c r="D18" s="41"/>
    </row>
    <row r="19" spans="1:7" ht="15.75">
      <c r="A19" s="21"/>
      <c r="B19" s="21"/>
      <c r="C19" s="21"/>
      <c r="D19" s="41"/>
    </row>
    <row r="25" spans="1:7">
      <c r="A25" s="75" t="s">
        <v>14</v>
      </c>
    </row>
    <row r="27" spans="1:7" ht="17.25">
      <c r="A27" s="196" t="s">
        <v>569</v>
      </c>
      <c r="B27" s="170"/>
      <c r="C27" s="170"/>
      <c r="D27" s="170"/>
      <c r="E27" s="170"/>
      <c r="F27" s="170"/>
      <c r="G27" s="170"/>
    </row>
    <row r="28" spans="1:7">
      <c r="A28" s="170"/>
      <c r="B28" s="170"/>
      <c r="C28" s="170"/>
      <c r="D28" s="170"/>
      <c r="E28" s="170"/>
      <c r="F28" s="170"/>
      <c r="G28" s="170"/>
    </row>
    <row r="29" spans="1:7">
      <c r="A29" s="186" t="s">
        <v>25</v>
      </c>
      <c r="B29" s="582" t="s">
        <v>700</v>
      </c>
      <c r="C29" s="580"/>
      <c r="D29" s="582" t="s">
        <v>629</v>
      </c>
      <c r="E29" s="581"/>
      <c r="F29" s="582" t="s">
        <v>701</v>
      </c>
      <c r="G29" s="151"/>
    </row>
    <row r="30" spans="1:7">
      <c r="A30" s="186" t="s">
        <v>326</v>
      </c>
      <c r="B30" s="164">
        <v>150</v>
      </c>
      <c r="C30" s="213">
        <f t="shared" ref="C30:C37" si="0">B30/$B$39*100</f>
        <v>0.91024940833788459</v>
      </c>
      <c r="D30" s="6">
        <v>444</v>
      </c>
      <c r="E30" s="213">
        <f>D30/$D$39*100</f>
        <v>1.9999099139678393</v>
      </c>
      <c r="F30" s="6">
        <v>462</v>
      </c>
      <c r="G30" s="213">
        <f>F30/$F$39*100</f>
        <v>1.9458366676494125</v>
      </c>
    </row>
    <row r="31" spans="1:7">
      <c r="A31" s="186" t="s">
        <v>327</v>
      </c>
      <c r="B31" s="164">
        <v>320</v>
      </c>
      <c r="C31" s="213">
        <f t="shared" si="0"/>
        <v>1.9418654044541537</v>
      </c>
      <c r="D31" s="6">
        <v>435</v>
      </c>
      <c r="E31" s="213">
        <f>D31/$D$39*100</f>
        <v>1.9593711994955181</v>
      </c>
      <c r="F31" s="6">
        <v>447</v>
      </c>
      <c r="G31" s="213">
        <f t="shared" ref="G31:G38" si="1">F31/$F$39*100</f>
        <v>1.8826601524659901</v>
      </c>
    </row>
    <row r="32" spans="1:7">
      <c r="A32" s="186" t="s">
        <v>328</v>
      </c>
      <c r="B32" s="164">
        <v>5545</v>
      </c>
      <c r="C32" s="213">
        <f t="shared" si="0"/>
        <v>33.648886461557133</v>
      </c>
      <c r="D32" s="6">
        <v>6997</v>
      </c>
      <c r="E32" s="213">
        <f t="shared" ref="E32:E38" si="2">D32/$D$39*100</f>
        <v>31.516598351425611</v>
      </c>
      <c r="F32" s="6">
        <v>7167</v>
      </c>
      <c r="G32" s="213">
        <f t="shared" si="1"/>
        <v>30.185738954639262</v>
      </c>
    </row>
    <row r="33" spans="1:7">
      <c r="A33" s="186" t="s">
        <v>112</v>
      </c>
      <c r="B33" s="164">
        <v>3062</v>
      </c>
      <c r="C33" s="213">
        <f t="shared" si="0"/>
        <v>18.581224588870686</v>
      </c>
      <c r="D33" s="6">
        <v>3897</v>
      </c>
      <c r="E33" s="213">
        <f t="shared" si="2"/>
        <v>17.553263366515022</v>
      </c>
      <c r="F33" s="6">
        <v>3869</v>
      </c>
      <c r="G33" s="213">
        <f t="shared" si="1"/>
        <v>16.295329149644104</v>
      </c>
    </row>
    <row r="34" spans="1:7">
      <c r="A34" s="186" t="s">
        <v>120</v>
      </c>
      <c r="B34" s="164">
        <v>1509</v>
      </c>
      <c r="C34" s="213">
        <f t="shared" si="0"/>
        <v>9.1571090478791195</v>
      </c>
      <c r="D34" s="6">
        <v>1757</v>
      </c>
      <c r="E34" s="213">
        <f t="shared" si="2"/>
        <v>7.9140579253186791</v>
      </c>
      <c r="F34" s="6">
        <v>2814</v>
      </c>
      <c r="G34" s="213">
        <f t="shared" si="1"/>
        <v>11.851914248410058</v>
      </c>
    </row>
    <row r="35" spans="1:7">
      <c r="A35" s="186" t="s">
        <v>329</v>
      </c>
      <c r="B35" s="164">
        <v>259</v>
      </c>
      <c r="C35" s="213">
        <f t="shared" si="0"/>
        <v>1.5716973117300808</v>
      </c>
      <c r="D35" s="6">
        <v>366</v>
      </c>
      <c r="E35" s="213">
        <f t="shared" si="2"/>
        <v>1.6485743885410569</v>
      </c>
      <c r="F35" s="6">
        <v>407</v>
      </c>
      <c r="G35" s="213">
        <f t="shared" si="1"/>
        <v>1.7141894453101967</v>
      </c>
    </row>
    <row r="36" spans="1:7">
      <c r="A36" s="186" t="s">
        <v>330</v>
      </c>
      <c r="B36" s="164">
        <v>48</v>
      </c>
      <c r="C36" s="213">
        <f t="shared" si="0"/>
        <v>0.29127981066812303</v>
      </c>
      <c r="D36" s="6">
        <v>106</v>
      </c>
      <c r="E36" s="213">
        <f t="shared" si="2"/>
        <v>0.4774559704517814</v>
      </c>
      <c r="F36" s="6">
        <v>112</v>
      </c>
      <c r="G36" s="213">
        <f t="shared" si="1"/>
        <v>0.47171798003622123</v>
      </c>
    </row>
    <row r="37" spans="1:7">
      <c r="A37" s="186" t="s">
        <v>7</v>
      </c>
      <c r="B37" s="164">
        <v>1771</v>
      </c>
      <c r="C37" s="213">
        <f t="shared" si="0"/>
        <v>10.747011347775958</v>
      </c>
      <c r="D37" s="6">
        <v>2499</v>
      </c>
      <c r="E37" s="213">
        <f t="shared" si="2"/>
        <v>11.256249718481151</v>
      </c>
      <c r="F37" s="6">
        <v>2671</v>
      </c>
      <c r="G37" s="213">
        <f t="shared" si="1"/>
        <v>11.249631470328096</v>
      </c>
    </row>
    <row r="38" spans="1:7">
      <c r="A38" s="186" t="s">
        <v>562</v>
      </c>
      <c r="B38" s="164">
        <v>3815</v>
      </c>
      <c r="C38" s="213">
        <f>B38/$B$39*100</f>
        <v>23.150676618726866</v>
      </c>
      <c r="D38" s="6">
        <v>5700</v>
      </c>
      <c r="E38" s="213">
        <f t="shared" si="2"/>
        <v>25.674519165803346</v>
      </c>
      <c r="F38" s="6">
        <v>5794</v>
      </c>
      <c r="G38" s="213">
        <f t="shared" si="1"/>
        <v>24.402981931516656</v>
      </c>
    </row>
    <row r="39" spans="1:7">
      <c r="A39" s="489" t="s">
        <v>254</v>
      </c>
      <c r="B39" s="464">
        <f>SUM(B30:B38)</f>
        <v>16479</v>
      </c>
      <c r="C39" s="690">
        <v>1</v>
      </c>
      <c r="D39" s="490">
        <f>SUM(D30:D38)</f>
        <v>22201</v>
      </c>
      <c r="E39" s="690">
        <v>1</v>
      </c>
      <c r="F39" s="490">
        <f>SUM(F30:F38)</f>
        <v>23743</v>
      </c>
      <c r="G39" s="690">
        <v>1</v>
      </c>
    </row>
    <row r="40" spans="1:7">
      <c r="A40" s="170"/>
      <c r="B40" s="238"/>
      <c r="C40" s="170"/>
      <c r="D40" s="170"/>
      <c r="E40" s="170"/>
      <c r="F40" s="170"/>
      <c r="G40" s="170"/>
    </row>
    <row r="41" spans="1:7" s="10" customFormat="1" ht="16.5">
      <c r="A41" s="75" t="s">
        <v>702</v>
      </c>
      <c r="B41" s="672"/>
      <c r="C41" s="32"/>
    </row>
    <row r="42" spans="1:7">
      <c r="A42" s="672" t="s">
        <v>237</v>
      </c>
      <c r="B42" s="75"/>
      <c r="C42" s="75"/>
    </row>
  </sheetData>
  <customSheetViews>
    <customSheetView guid="{00BB8FC3-0B7F-4485-B1CD-FF164EC3970C}" fitToPage="1">
      <selection activeCell="J25" sqref="J25"/>
      <pageMargins left="0.7" right="0.7" top="0.78740157499999996" bottom="0.78740157499999996" header="0.3" footer="0.3"/>
      <pageSetup paperSize="9" scale="88" orientation="portrait" r:id="rId1"/>
    </customSheetView>
    <customSheetView guid="{5DDDE19F-F10F-4514-A83C-F71CDD7BE512}" fitToPage="1">
      <selection activeCell="J25" sqref="J25"/>
      <pageMargins left="0.7" right="0.7" top="0.78740157499999996" bottom="0.78740157499999996" header="0.3" footer="0.3"/>
      <pageSetup paperSize="9" scale="88" orientation="portrait" r:id="rId2"/>
    </customSheetView>
    <customSheetView guid="{9A6D0F5E-68D7-4772-8712-9975EE0A4B2C}" fitToPage="1">
      <selection activeCell="J25" sqref="J25"/>
      <pageMargins left="0.7" right="0.7" top="0.78740157499999996" bottom="0.78740157499999996" header="0.3" footer="0.3"/>
      <pageSetup paperSize="9" scale="88" orientation="portrait" r:id="rId3"/>
    </customSheetView>
  </customSheetViews>
  <pageMargins left="0.7" right="0.7" top="0.78740157499999996" bottom="0.78740157499999996" header="0.3" footer="0.3"/>
  <pageSetup paperSize="9" scale="88" orientation="portrait" r:id="rId4"/>
  <drawing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L45"/>
  <sheetViews>
    <sheetView topLeftCell="A13" workbookViewId="0">
      <selection activeCell="G25" sqref="G25"/>
    </sheetView>
  </sheetViews>
  <sheetFormatPr baseColWidth="10" defaultRowHeight="15"/>
  <cols>
    <col min="1" max="1" width="32.42578125" customWidth="1"/>
    <col min="2" max="2" width="11.42578125" customWidth="1"/>
    <col min="3" max="3" width="11.28515625" customWidth="1"/>
    <col min="4" max="4" width="12.7109375" customWidth="1"/>
    <col min="5" max="8" width="10.85546875"/>
    <col min="9" max="9" width="25.140625" bestFit="1" customWidth="1"/>
    <col min="10" max="11" width="8" bestFit="1" customWidth="1"/>
    <col min="12" max="12" width="7.85546875" customWidth="1"/>
  </cols>
  <sheetData>
    <row r="1" spans="1:12" ht="39.75" customHeight="1">
      <c r="A1" s="796" t="s">
        <v>234</v>
      </c>
      <c r="B1" s="796"/>
      <c r="C1" s="130"/>
      <c r="D1" s="130"/>
      <c r="E1" s="130"/>
    </row>
    <row r="2" spans="1:12" s="22" customFormat="1" ht="17.25">
      <c r="A2" s="240" t="s">
        <v>662</v>
      </c>
      <c r="B2" s="240"/>
    </row>
    <row r="3" spans="1:12" ht="15.75">
      <c r="A3" s="22"/>
      <c r="B3" s="22"/>
      <c r="C3" s="22"/>
      <c r="D3" s="22"/>
      <c r="E3" s="22"/>
      <c r="F3" s="2"/>
      <c r="G3" s="2"/>
    </row>
    <row r="4" spans="1:12" ht="15.75">
      <c r="A4" s="89"/>
      <c r="B4" s="89"/>
      <c r="C4" s="89"/>
      <c r="D4" s="21"/>
      <c r="E4" s="21"/>
    </row>
    <row r="5" spans="1:12" ht="15.75">
      <c r="A5" s="21"/>
      <c r="B5" s="29"/>
      <c r="C5" s="21"/>
      <c r="D5" s="21"/>
      <c r="E5" s="21"/>
      <c r="I5" s="753" t="s">
        <v>25</v>
      </c>
      <c r="J5" s="754">
        <v>2013</v>
      </c>
      <c r="K5" s="754">
        <v>2022</v>
      </c>
      <c r="L5" s="754">
        <v>2023</v>
      </c>
    </row>
    <row r="6" spans="1:12" ht="15.75">
      <c r="A6" s="21"/>
      <c r="B6" s="29"/>
      <c r="C6" s="21"/>
      <c r="D6" s="21"/>
      <c r="E6" s="21"/>
      <c r="I6" s="753" t="s">
        <v>326</v>
      </c>
      <c r="J6" s="753">
        <v>150</v>
      </c>
      <c r="K6" s="753">
        <v>445</v>
      </c>
      <c r="L6" s="753">
        <v>462</v>
      </c>
    </row>
    <row r="7" spans="1:12" ht="15.75">
      <c r="A7" s="21"/>
      <c r="B7" s="29"/>
      <c r="C7" s="21"/>
      <c r="D7" s="21"/>
      <c r="E7" s="21"/>
      <c r="I7" s="753" t="s">
        <v>327</v>
      </c>
      <c r="J7" s="753">
        <v>320</v>
      </c>
      <c r="K7" s="753">
        <v>441</v>
      </c>
      <c r="L7" s="753">
        <v>447</v>
      </c>
    </row>
    <row r="8" spans="1:12" ht="15.75">
      <c r="A8" s="21"/>
      <c r="B8" s="29"/>
      <c r="C8" s="21"/>
      <c r="D8" s="21"/>
      <c r="E8" s="21"/>
      <c r="I8" s="753" t="s">
        <v>328</v>
      </c>
      <c r="J8" s="753">
        <v>5545</v>
      </c>
      <c r="K8" s="753">
        <v>7077</v>
      </c>
      <c r="L8" s="753">
        <v>7167</v>
      </c>
    </row>
    <row r="9" spans="1:12" ht="15.75">
      <c r="A9" s="21"/>
      <c r="B9" s="29"/>
      <c r="C9" s="21"/>
      <c r="D9" s="21"/>
      <c r="E9" s="21"/>
      <c r="I9" s="753" t="s">
        <v>112</v>
      </c>
      <c r="J9" s="753">
        <v>3062</v>
      </c>
      <c r="K9" s="753">
        <v>3955</v>
      </c>
      <c r="L9" s="753">
        <v>3869</v>
      </c>
    </row>
    <row r="10" spans="1:12" ht="15.75">
      <c r="A10" s="21"/>
      <c r="B10" s="29"/>
      <c r="C10" s="21"/>
      <c r="D10" s="21"/>
      <c r="E10" s="21"/>
      <c r="I10" s="753" t="s">
        <v>120</v>
      </c>
      <c r="J10" s="753">
        <v>1509</v>
      </c>
      <c r="K10" s="753">
        <v>2844</v>
      </c>
      <c r="L10" s="753">
        <v>2814</v>
      </c>
    </row>
    <row r="11" spans="1:12" ht="15.75">
      <c r="A11" s="21"/>
      <c r="B11" s="29"/>
      <c r="C11" s="21"/>
      <c r="D11" s="21"/>
      <c r="E11" s="21"/>
      <c r="I11" s="753" t="s">
        <v>329</v>
      </c>
      <c r="J11" s="753">
        <v>259</v>
      </c>
      <c r="K11" s="753">
        <v>366</v>
      </c>
      <c r="L11" s="753">
        <v>407</v>
      </c>
    </row>
    <row r="12" spans="1:12" ht="15.75">
      <c r="A12" s="21"/>
      <c r="B12" s="29"/>
      <c r="C12" s="21"/>
      <c r="D12" s="21"/>
      <c r="E12" s="21"/>
      <c r="I12" s="753" t="s">
        <v>330</v>
      </c>
      <c r="J12" s="753">
        <v>48</v>
      </c>
      <c r="K12" s="753">
        <v>106</v>
      </c>
      <c r="L12" s="753">
        <v>112</v>
      </c>
    </row>
    <row r="13" spans="1:12" ht="15.75">
      <c r="A13" s="21"/>
      <c r="B13" s="29"/>
      <c r="C13" s="21"/>
      <c r="D13" s="21"/>
      <c r="E13" s="21"/>
      <c r="I13" s="753" t="s">
        <v>7</v>
      </c>
      <c r="J13" s="753">
        <v>1771</v>
      </c>
      <c r="K13" s="753">
        <v>2531</v>
      </c>
      <c r="L13" s="753">
        <v>2671</v>
      </c>
    </row>
    <row r="14" spans="1:12" ht="15.75">
      <c r="A14" s="21"/>
      <c r="B14" s="29"/>
      <c r="C14" s="21"/>
      <c r="D14" s="21"/>
      <c r="E14" s="21"/>
      <c r="I14" s="753" t="s">
        <v>331</v>
      </c>
      <c r="J14" s="753">
        <v>3815</v>
      </c>
      <c r="K14" s="753">
        <v>5705</v>
      </c>
      <c r="L14" s="753">
        <v>5794</v>
      </c>
    </row>
    <row r="15" spans="1:12" ht="15.75">
      <c r="A15" s="21"/>
      <c r="B15" s="21"/>
      <c r="C15" s="21"/>
      <c r="D15" s="21"/>
      <c r="E15" s="21"/>
      <c r="I15" s="753" t="s">
        <v>254</v>
      </c>
      <c r="J15" s="753">
        <f>SUM(J6:J14)</f>
        <v>16479</v>
      </c>
      <c r="K15" s="753">
        <f>SUM(K6:K14)</f>
        <v>23470</v>
      </c>
      <c r="L15" s="753">
        <f>SUM(L6:L14)</f>
        <v>23743</v>
      </c>
    </row>
    <row r="16" spans="1:12" ht="15.75">
      <c r="A16" s="22"/>
      <c r="B16" s="22"/>
      <c r="C16" s="22"/>
      <c r="D16" s="22"/>
      <c r="E16" s="22"/>
    </row>
    <row r="21" spans="1:8">
      <c r="A21" s="305" t="s">
        <v>237</v>
      </c>
      <c r="B21" s="75"/>
      <c r="C21" s="75"/>
    </row>
    <row r="24" spans="1:8" ht="15.75">
      <c r="A24" s="5" t="s">
        <v>423</v>
      </c>
      <c r="B24" s="26"/>
      <c r="C24" s="26"/>
      <c r="D24" s="41"/>
      <c r="E24" s="160"/>
    </row>
    <row r="25" spans="1:8" ht="15.75">
      <c r="A25" s="22"/>
      <c r="B25" s="21"/>
      <c r="C25" s="21"/>
      <c r="D25" s="21"/>
      <c r="E25" s="160"/>
    </row>
    <row r="26" spans="1:8" ht="17.25">
      <c r="A26" s="143"/>
      <c r="B26" s="196" t="s">
        <v>423</v>
      </c>
      <c r="C26" s="196" t="s">
        <v>424</v>
      </c>
      <c r="D26" s="196" t="s">
        <v>746</v>
      </c>
      <c r="E26" s="196" t="s">
        <v>747</v>
      </c>
      <c r="F26" s="143"/>
    </row>
    <row r="27" spans="1:8">
      <c r="A27" s="143"/>
      <c r="B27" s="164"/>
      <c r="C27" s="164"/>
      <c r="D27" s="164"/>
      <c r="E27" s="164"/>
      <c r="F27" s="10"/>
    </row>
    <row r="28" spans="1:8">
      <c r="A28" s="143">
        <v>2011</v>
      </c>
      <c r="B28" s="164">
        <v>37</v>
      </c>
      <c r="C28" s="164">
        <v>103</v>
      </c>
      <c r="D28" s="164">
        <v>132</v>
      </c>
      <c r="E28" s="164">
        <v>387881</v>
      </c>
      <c r="F28" s="10"/>
      <c r="G28" s="33" t="s">
        <v>0</v>
      </c>
      <c r="H28" s="160"/>
    </row>
    <row r="29" spans="1:8" s="160" customFormat="1">
      <c r="A29" s="143">
        <v>2012</v>
      </c>
      <c r="B29" s="164">
        <v>40</v>
      </c>
      <c r="C29" s="164">
        <v>102</v>
      </c>
      <c r="D29" s="164">
        <v>130</v>
      </c>
      <c r="E29" s="164">
        <v>389487</v>
      </c>
      <c r="F29" s="10"/>
      <c r="G29" s="33"/>
    </row>
    <row r="30" spans="1:8">
      <c r="A30" s="326">
        <v>2014</v>
      </c>
      <c r="B30" s="164">
        <v>41</v>
      </c>
      <c r="C30" s="164">
        <v>103</v>
      </c>
      <c r="D30" s="326">
        <v>127</v>
      </c>
      <c r="E30" s="164">
        <v>389967</v>
      </c>
      <c r="F30" s="10"/>
    </row>
    <row r="31" spans="1:8" s="160" customFormat="1">
      <c r="A31" s="326">
        <v>2016</v>
      </c>
      <c r="B31" s="164">
        <v>42</v>
      </c>
      <c r="C31" s="164">
        <v>102</v>
      </c>
      <c r="D31" s="326">
        <v>125</v>
      </c>
      <c r="E31" s="164">
        <v>390411</v>
      </c>
      <c r="F31" s="10"/>
    </row>
    <row r="32" spans="1:8" s="10" customFormat="1">
      <c r="A32" s="326">
        <v>2018</v>
      </c>
      <c r="B32" s="164">
        <v>49</v>
      </c>
      <c r="C32" s="164">
        <v>98</v>
      </c>
      <c r="D32" s="326">
        <v>121</v>
      </c>
      <c r="E32" s="164">
        <v>397470</v>
      </c>
    </row>
    <row r="33" spans="1:6" s="160" customFormat="1">
      <c r="A33" s="326">
        <v>2019</v>
      </c>
      <c r="B33" s="164">
        <v>49</v>
      </c>
      <c r="C33" s="164">
        <v>98</v>
      </c>
      <c r="D33" s="326">
        <v>118</v>
      </c>
      <c r="E33" s="164">
        <v>396669</v>
      </c>
      <c r="F33" s="10"/>
    </row>
    <row r="34" spans="1:6" s="160" customFormat="1">
      <c r="A34" s="326">
        <v>2020</v>
      </c>
      <c r="B34" s="164">
        <v>50</v>
      </c>
      <c r="C34" s="164">
        <v>96</v>
      </c>
      <c r="D34" s="326">
        <v>117</v>
      </c>
      <c r="E34" s="164">
        <v>395157</v>
      </c>
      <c r="F34" s="10"/>
    </row>
    <row r="35" spans="1:6" s="160" customFormat="1">
      <c r="A35" s="326">
        <v>2021</v>
      </c>
      <c r="B35" s="164">
        <v>50</v>
      </c>
      <c r="C35" s="164">
        <v>95</v>
      </c>
      <c r="D35" s="326">
        <v>116</v>
      </c>
      <c r="E35" s="164">
        <v>392811</v>
      </c>
      <c r="F35" s="10"/>
    </row>
    <row r="36" spans="1:6" s="160" customFormat="1">
      <c r="A36" s="632">
        <v>2022</v>
      </c>
      <c r="B36" s="245">
        <v>51</v>
      </c>
      <c r="C36" s="245">
        <v>95</v>
      </c>
      <c r="D36" s="632">
        <v>112</v>
      </c>
      <c r="E36" s="245">
        <v>390920</v>
      </c>
      <c r="F36" s="10"/>
    </row>
    <row r="37" spans="1:6" s="160" customFormat="1">
      <c r="A37" s="632">
        <v>2023</v>
      </c>
      <c r="B37" s="245">
        <v>51</v>
      </c>
      <c r="C37" s="245">
        <v>95</v>
      </c>
      <c r="D37" s="632">
        <v>103</v>
      </c>
      <c r="E37" s="245">
        <v>359723</v>
      </c>
      <c r="F37" s="10"/>
    </row>
    <row r="38" spans="1:6" s="160" customFormat="1">
      <c r="A38" s="633">
        <v>2024</v>
      </c>
      <c r="B38" s="464">
        <v>52</v>
      </c>
      <c r="C38" s="464">
        <v>92</v>
      </c>
      <c r="D38" s="633">
        <v>101</v>
      </c>
      <c r="E38" s="464">
        <v>355332</v>
      </c>
      <c r="F38" s="10"/>
    </row>
    <row r="39" spans="1:6" ht="17.25">
      <c r="A39" s="108"/>
      <c r="B39" s="206"/>
      <c r="C39" s="189"/>
      <c r="D39" s="190"/>
      <c r="E39" s="143"/>
    </row>
    <row r="40" spans="1:6" ht="15.75">
      <c r="A40" s="75" t="s">
        <v>702</v>
      </c>
      <c r="B40" s="352"/>
      <c r="C40" s="189"/>
      <c r="D40" s="190"/>
      <c r="E40" s="143"/>
    </row>
    <row r="41" spans="1:6" ht="15.75">
      <c r="A41" s="673" t="s">
        <v>663</v>
      </c>
      <c r="B41" s="350"/>
      <c r="C41" s="154"/>
      <c r="D41" s="190"/>
      <c r="E41" s="143"/>
    </row>
    <row r="42" spans="1:6" ht="15.75">
      <c r="A42" s="350" t="s">
        <v>664</v>
      </c>
      <c r="B42" s="154"/>
      <c r="C42" s="154"/>
      <c r="D42" s="190"/>
      <c r="E42" s="143"/>
    </row>
    <row r="43" spans="1:6">
      <c r="A43" s="143"/>
      <c r="B43" s="160"/>
      <c r="C43" s="160"/>
      <c r="D43" s="160"/>
      <c r="E43" s="160"/>
    </row>
    <row r="44" spans="1:6" ht="16.5">
      <c r="A44" s="160"/>
      <c r="B44" s="32"/>
      <c r="C44" s="32"/>
      <c r="D44" s="32"/>
      <c r="E44" s="160"/>
    </row>
    <row r="45" spans="1:6">
      <c r="A45" s="75" t="s">
        <v>703</v>
      </c>
      <c r="B45" s="10"/>
      <c r="C45" s="10"/>
      <c r="D45" s="10"/>
    </row>
  </sheetData>
  <customSheetViews>
    <customSheetView guid="{00BB8FC3-0B7F-4485-B1CD-FF164EC3970C}" fitToPage="1">
      <selection activeCell="E39" sqref="E39"/>
      <pageMargins left="0.7" right="0.7" top="0.78740157499999996" bottom="0.78740157499999996" header="0.3" footer="0.3"/>
      <pageSetup paperSize="9" scale="54" orientation="portrait" r:id="rId1"/>
    </customSheetView>
    <customSheetView guid="{5DDDE19F-F10F-4514-A83C-F71CDD7BE512}" fitToPage="1">
      <selection activeCell="E39" sqref="E39"/>
      <pageMargins left="0.7" right="0.7" top="0.78740157499999996" bottom="0.78740157499999996" header="0.3" footer="0.3"/>
      <pageSetup paperSize="9" scale="54" orientation="portrait" r:id="rId2"/>
    </customSheetView>
    <customSheetView guid="{9A6D0F5E-68D7-4772-8712-9975EE0A4B2C}" fitToPage="1">
      <selection activeCell="E39" sqref="E39"/>
      <pageMargins left="0.7" right="0.7" top="0.78740157499999996" bottom="0.78740157499999996" header="0.3" footer="0.3"/>
      <pageSetup paperSize="9" scale="54" orientation="portrait" r:id="rId3"/>
    </customSheetView>
  </customSheetViews>
  <mergeCells count="1">
    <mergeCell ref="A1:B1"/>
  </mergeCells>
  <pageMargins left="0.7" right="0.7" top="0.78740157499999996" bottom="0.78740157499999996" header="0.3" footer="0.3"/>
  <pageSetup paperSize="9" scale="54"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1"/>
  <sheetViews>
    <sheetView workbookViewId="0">
      <selection activeCell="G23" sqref="G23"/>
    </sheetView>
  </sheetViews>
  <sheetFormatPr baseColWidth="10" defaultRowHeight="15"/>
  <cols>
    <col min="1" max="5" width="11.7109375" customWidth="1"/>
    <col min="6" max="6" width="11.7109375" style="2" customWidth="1"/>
    <col min="7" max="8" width="11.7109375" customWidth="1"/>
  </cols>
  <sheetData>
    <row r="1" spans="1:8" s="191" customFormat="1" ht="39.950000000000003" customHeight="1">
      <c r="A1" s="796" t="s">
        <v>2</v>
      </c>
      <c r="B1" s="796"/>
      <c r="C1" s="796"/>
      <c r="D1" s="796"/>
      <c r="E1" s="796"/>
      <c r="F1" s="382"/>
      <c r="G1" s="36"/>
      <c r="H1" s="130"/>
    </row>
    <row r="2" spans="1:8" s="130" customFormat="1" ht="16.5" customHeight="1">
      <c r="A2" s="64"/>
      <c r="B2" s="64"/>
      <c r="C2" s="64"/>
      <c r="D2" s="64"/>
      <c r="E2" s="254"/>
      <c r="F2" s="255"/>
      <c r="G2" s="36"/>
    </row>
    <row r="3" spans="1:8" ht="16.5" customHeight="1">
      <c r="A3" s="802" t="s">
        <v>671</v>
      </c>
      <c r="B3" s="803"/>
      <c r="C3" s="803"/>
      <c r="D3" s="256" t="s">
        <v>3</v>
      </c>
      <c r="E3" s="256" t="s">
        <v>4</v>
      </c>
      <c r="F3" s="64"/>
      <c r="G3" s="130"/>
      <c r="H3" s="130"/>
    </row>
    <row r="4" spans="1:8" ht="16.5" customHeight="1">
      <c r="A4" s="257"/>
      <c r="B4" s="257"/>
      <c r="C4" s="64"/>
      <c r="D4" s="256"/>
      <c r="E4" s="256"/>
      <c r="F4" s="64"/>
    </row>
    <row r="5" spans="1:8">
      <c r="A5" s="800" t="s">
        <v>12</v>
      </c>
      <c r="B5" s="800"/>
      <c r="C5" s="800"/>
      <c r="D5" s="258">
        <v>60543</v>
      </c>
      <c r="E5" s="259">
        <f t="shared" ref="E5:E11" si="0">D5/$D$12</f>
        <v>0.23270822202662136</v>
      </c>
      <c r="F5" s="64"/>
    </row>
    <row r="6" spans="1:8">
      <c r="A6" s="800" t="s">
        <v>321</v>
      </c>
      <c r="B6" s="800"/>
      <c r="C6" s="800"/>
      <c r="D6" s="258">
        <v>9849</v>
      </c>
      <c r="E6" s="259">
        <f t="shared" si="0"/>
        <v>3.7856453739328971E-2</v>
      </c>
      <c r="F6" s="64"/>
      <c r="G6" s="180"/>
      <c r="H6" s="180"/>
    </row>
    <row r="7" spans="1:8">
      <c r="A7" s="800" t="s">
        <v>5</v>
      </c>
      <c r="B7" s="800"/>
      <c r="C7" s="800"/>
      <c r="D7" s="258">
        <v>7192</v>
      </c>
      <c r="E7" s="259">
        <f t="shared" si="0"/>
        <v>2.7643782647299619E-2</v>
      </c>
      <c r="F7" s="64"/>
    </row>
    <row r="8" spans="1:8">
      <c r="A8" s="800" t="s">
        <v>6</v>
      </c>
      <c r="B8" s="800"/>
      <c r="C8" s="800"/>
      <c r="D8" s="258">
        <v>40855</v>
      </c>
      <c r="E8" s="259">
        <f t="shared" si="0"/>
        <v>0.15703375139814044</v>
      </c>
      <c r="F8" s="64"/>
    </row>
    <row r="9" spans="1:8">
      <c r="A9" s="800" t="s">
        <v>7</v>
      </c>
      <c r="B9" s="800"/>
      <c r="C9" s="800"/>
      <c r="D9" s="258">
        <v>47988</v>
      </c>
      <c r="E9" s="259">
        <f t="shared" si="0"/>
        <v>0.18445075662939572</v>
      </c>
      <c r="F9" s="64"/>
    </row>
    <row r="10" spans="1:8">
      <c r="A10" s="800" t="s">
        <v>8</v>
      </c>
      <c r="B10" s="800"/>
      <c r="C10" s="800"/>
      <c r="D10" s="258">
        <v>93729</v>
      </c>
      <c r="E10" s="259">
        <f t="shared" si="0"/>
        <v>0.36026475302401917</v>
      </c>
      <c r="F10" s="64"/>
    </row>
    <row r="11" spans="1:8">
      <c r="A11" s="800" t="s">
        <v>9</v>
      </c>
      <c r="B11" s="800"/>
      <c r="C11" s="800"/>
      <c r="D11" s="258">
        <v>11</v>
      </c>
      <c r="E11" s="259">
        <f t="shared" si="0"/>
        <v>4.2280535194701865E-5</v>
      </c>
      <c r="F11" s="64"/>
    </row>
    <row r="12" spans="1:8">
      <c r="A12" s="801" t="s">
        <v>10</v>
      </c>
      <c r="B12" s="801"/>
      <c r="C12" s="801"/>
      <c r="D12" s="421">
        <f>SUM(D5:D11)</f>
        <v>260167</v>
      </c>
      <c r="E12" s="709">
        <f>SUM(E5:E11)</f>
        <v>1</v>
      </c>
      <c r="F12" s="64"/>
    </row>
    <row r="13" spans="1:8">
      <c r="A13" s="64"/>
      <c r="B13" s="64"/>
      <c r="C13" s="64"/>
      <c r="D13" s="103"/>
      <c r="E13" s="103"/>
      <c r="F13" s="64"/>
    </row>
    <row r="14" spans="1:8" ht="16.5" customHeight="1">
      <c r="A14" s="797" t="s">
        <v>11</v>
      </c>
      <c r="B14" s="798"/>
      <c r="C14" s="798"/>
      <c r="D14" s="798"/>
      <c r="E14" s="798"/>
      <c r="F14" s="798"/>
      <c r="G14" s="798"/>
      <c r="H14" s="798"/>
    </row>
    <row r="15" spans="1:8">
      <c r="A15" s="261"/>
      <c r="B15" s="261"/>
      <c r="C15" s="261"/>
      <c r="D15" s="261"/>
      <c r="E15" s="261"/>
      <c r="F15" s="261"/>
    </row>
    <row r="19" spans="1:7">
      <c r="A19" s="64"/>
      <c r="B19" s="64"/>
      <c r="C19" s="64"/>
      <c r="D19" s="64"/>
      <c r="E19" s="64"/>
      <c r="F19" s="64"/>
    </row>
    <row r="20" spans="1:7">
      <c r="A20" s="64"/>
      <c r="B20" s="64"/>
      <c r="C20" s="64"/>
      <c r="D20" s="64"/>
      <c r="E20" s="64"/>
      <c r="F20" s="64"/>
    </row>
    <row r="21" spans="1:7">
      <c r="A21" s="64"/>
      <c r="B21" s="64"/>
      <c r="C21" s="64"/>
      <c r="D21" s="64"/>
      <c r="E21" s="64"/>
      <c r="F21" s="64"/>
    </row>
    <row r="22" spans="1:7">
      <c r="A22" s="10"/>
      <c r="B22" s="10"/>
      <c r="C22" s="10"/>
      <c r="D22" s="10"/>
      <c r="E22" s="10"/>
      <c r="F22" s="240"/>
    </row>
    <row r="23" spans="1:7">
      <c r="A23" s="10"/>
      <c r="B23" s="10"/>
      <c r="C23" s="10"/>
      <c r="D23" s="10"/>
      <c r="E23" s="10"/>
      <c r="F23" s="240"/>
    </row>
    <row r="24" spans="1:7">
      <c r="A24" s="10"/>
      <c r="B24" s="10"/>
      <c r="C24" s="10"/>
      <c r="D24" s="10"/>
      <c r="E24" s="10"/>
      <c r="F24" s="240"/>
    </row>
    <row r="25" spans="1:7">
      <c r="A25" s="10"/>
      <c r="B25" s="10"/>
      <c r="C25" s="10"/>
      <c r="D25" s="10"/>
      <c r="E25" s="10"/>
      <c r="F25" s="240"/>
    </row>
    <row r="26" spans="1:7">
      <c r="A26" s="10"/>
      <c r="B26" s="10"/>
      <c r="C26" s="10"/>
      <c r="D26" s="10"/>
      <c r="E26" s="10"/>
      <c r="F26" s="240"/>
    </row>
    <row r="27" spans="1:7" ht="20.25">
      <c r="A27" s="10"/>
      <c r="B27" s="10"/>
      <c r="C27" s="10"/>
      <c r="D27" s="10"/>
      <c r="E27" s="10"/>
      <c r="F27" s="799"/>
      <c r="G27" s="799"/>
    </row>
    <row r="28" spans="1:7">
      <c r="A28" s="10"/>
      <c r="B28" s="10"/>
      <c r="C28" s="10"/>
      <c r="D28" s="10"/>
      <c r="E28" s="10"/>
      <c r="F28" s="240"/>
    </row>
    <row r="29" spans="1:7">
      <c r="A29" s="10"/>
      <c r="B29" s="10"/>
      <c r="C29" s="10"/>
      <c r="D29" s="10"/>
      <c r="E29" s="10"/>
      <c r="F29" s="240"/>
    </row>
    <row r="30" spans="1:7" ht="30">
      <c r="A30" s="711" t="s">
        <v>12</v>
      </c>
      <c r="B30" s="712" t="s">
        <v>322</v>
      </c>
      <c r="C30" s="711" t="s">
        <v>5</v>
      </c>
      <c r="D30" s="711" t="s">
        <v>13</v>
      </c>
      <c r="E30" s="711" t="s">
        <v>7</v>
      </c>
      <c r="F30" s="711" t="s">
        <v>8</v>
      </c>
    </row>
    <row r="31" spans="1:7">
      <c r="A31" s="713">
        <v>0.23300000000000001</v>
      </c>
      <c r="B31" s="713">
        <v>3.7999999999999999E-2</v>
      </c>
      <c r="C31" s="713">
        <v>2.8000000000000001E-2</v>
      </c>
      <c r="D31" s="713">
        <v>0.157</v>
      </c>
      <c r="E31" s="713">
        <v>0.185</v>
      </c>
      <c r="F31" s="713">
        <v>0.36</v>
      </c>
    </row>
    <row r="32" spans="1:7">
      <c r="A32" s="10"/>
      <c r="B32" s="10"/>
      <c r="C32" s="10"/>
      <c r="D32" s="10"/>
      <c r="E32" s="10"/>
      <c r="F32" s="240"/>
    </row>
    <row r="33" spans="1:6">
      <c r="A33" s="10"/>
      <c r="B33" s="10"/>
      <c r="C33" s="10"/>
      <c r="D33" s="10"/>
      <c r="E33" s="10"/>
      <c r="F33" s="240"/>
    </row>
    <row r="34" spans="1:6">
      <c r="A34" s="262" t="s">
        <v>14</v>
      </c>
      <c r="B34" s="10"/>
      <c r="C34" s="10"/>
      <c r="D34" s="10"/>
      <c r="E34" s="10"/>
      <c r="F34" s="240"/>
    </row>
    <row r="35" spans="1:6">
      <c r="A35" s="10"/>
      <c r="B35" s="10"/>
      <c r="C35" s="10"/>
      <c r="D35" s="10"/>
      <c r="E35" s="10"/>
      <c r="F35" s="240"/>
    </row>
    <row r="36" spans="1:6">
      <c r="B36" s="64"/>
      <c r="C36" s="64"/>
      <c r="D36" s="64"/>
      <c r="E36" s="64"/>
      <c r="F36" s="64"/>
    </row>
    <row r="37" spans="1:6">
      <c r="A37" s="10"/>
      <c r="B37" s="10"/>
      <c r="C37" s="10"/>
      <c r="D37" s="10"/>
      <c r="E37" s="10"/>
      <c r="F37" s="240"/>
    </row>
    <row r="41" spans="1:6">
      <c r="A41" s="64"/>
      <c r="B41" s="64"/>
      <c r="C41" s="64"/>
      <c r="D41" s="64"/>
      <c r="E41" s="64"/>
      <c r="F41" s="64"/>
    </row>
  </sheetData>
  <customSheetViews>
    <customSheetView guid="{00BB8FC3-0B7F-4485-B1CD-FF164EC3970C}" fitToPage="1">
      <selection activeCell="F10" sqref="F10"/>
      <pageMargins left="0.7" right="0.7" top="0.78740157499999996" bottom="0.78740157499999996" header="0.3" footer="0.3"/>
      <pageSetup paperSize="9" scale="70" orientation="portrait" r:id="rId1"/>
    </customSheetView>
    <customSheetView guid="{5DDDE19F-F10F-4514-A83C-F71CDD7BE512}" fitToPage="1">
      <selection activeCell="F10" sqref="F10"/>
      <pageMargins left="0.7" right="0.7" top="0.78740157499999996" bottom="0.78740157499999996" header="0.3" footer="0.3"/>
      <pageSetup paperSize="9" scale="70" orientation="portrait" r:id="rId2"/>
    </customSheetView>
    <customSheetView guid="{9A6D0F5E-68D7-4772-8712-9975EE0A4B2C}" fitToPage="1">
      <selection activeCell="F10" sqref="F10"/>
      <pageMargins left="0.7" right="0.7" top="0.78740157499999996" bottom="0.78740157499999996" header="0.3" footer="0.3"/>
      <pageSetup paperSize="9" scale="70" orientation="portrait" r:id="rId3"/>
    </customSheetView>
  </customSheetViews>
  <mergeCells count="12">
    <mergeCell ref="A14:H14"/>
    <mergeCell ref="A1:E1"/>
    <mergeCell ref="F27:G27"/>
    <mergeCell ref="A5:C5"/>
    <mergeCell ref="A6:C6"/>
    <mergeCell ref="A7:C7"/>
    <mergeCell ref="A8:C8"/>
    <mergeCell ref="A9:C9"/>
    <mergeCell ref="A10:C10"/>
    <mergeCell ref="A11:C11"/>
    <mergeCell ref="A12:C12"/>
    <mergeCell ref="A3:C3"/>
  </mergeCells>
  <pageMargins left="0.7" right="0.7" top="0.78740157499999996" bottom="0.78740157499999996" header="0.3" footer="0.3"/>
  <pageSetup paperSize="9" scale="93" orientation="portrait" r:id="rId4"/>
  <drawing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U101"/>
  <sheetViews>
    <sheetView topLeftCell="A72" workbookViewId="0">
      <selection activeCell="L56" sqref="L56"/>
    </sheetView>
  </sheetViews>
  <sheetFormatPr baseColWidth="10" defaultRowHeight="15"/>
  <cols>
    <col min="2" max="2" width="11.140625" customWidth="1"/>
  </cols>
  <sheetData>
    <row r="1" spans="1:11" ht="39.75" customHeight="1">
      <c r="A1" s="660" t="s">
        <v>288</v>
      </c>
      <c r="B1" s="660"/>
      <c r="C1" s="10"/>
      <c r="D1" s="10"/>
    </row>
    <row r="3" spans="1:11" s="160" customFormat="1"/>
    <row r="4" spans="1:11">
      <c r="A4" t="s">
        <v>171</v>
      </c>
      <c r="B4" s="847" t="s">
        <v>283</v>
      </c>
      <c r="C4" s="847"/>
      <c r="D4" s="847" t="s">
        <v>418</v>
      </c>
      <c r="E4" s="847"/>
    </row>
    <row r="5" spans="1:11">
      <c r="B5" t="s">
        <v>25</v>
      </c>
      <c r="C5" t="s">
        <v>68</v>
      </c>
      <c r="D5" t="s">
        <v>25</v>
      </c>
      <c r="E5" t="s">
        <v>68</v>
      </c>
    </row>
    <row r="7" spans="1:11">
      <c r="B7" s="845" t="s">
        <v>247</v>
      </c>
      <c r="C7" s="845"/>
      <c r="D7" s="846"/>
      <c r="E7" s="846"/>
    </row>
    <row r="8" spans="1:11">
      <c r="A8" s="143">
        <v>2010</v>
      </c>
      <c r="B8" s="164">
        <v>5329</v>
      </c>
      <c r="C8" s="164">
        <v>113651</v>
      </c>
      <c r="D8" s="143">
        <v>100</v>
      </c>
      <c r="E8" s="143">
        <v>100</v>
      </c>
    </row>
    <row r="9" spans="1:11">
      <c r="A9" s="163">
        <v>2013</v>
      </c>
      <c r="B9" s="164">
        <v>6200</v>
      </c>
      <c r="C9" s="164">
        <v>130707</v>
      </c>
      <c r="D9" s="143">
        <v>116</v>
      </c>
      <c r="E9" s="143">
        <v>115</v>
      </c>
      <c r="G9" t="s">
        <v>0</v>
      </c>
      <c r="H9" s="6"/>
      <c r="I9" s="6"/>
    </row>
    <row r="10" spans="1:11">
      <c r="A10" s="163">
        <v>2014</v>
      </c>
      <c r="B10" s="164">
        <v>6699</v>
      </c>
      <c r="C10" s="164">
        <v>129847</v>
      </c>
      <c r="D10" s="143">
        <v>126</v>
      </c>
      <c r="E10" s="143">
        <v>114</v>
      </c>
      <c r="G10" s="163" t="s">
        <v>0</v>
      </c>
      <c r="H10" s="164" t="s">
        <v>0</v>
      </c>
      <c r="I10" s="164" t="s">
        <v>0</v>
      </c>
      <c r="J10" s="143" t="s">
        <v>0</v>
      </c>
      <c r="K10" s="143" t="s">
        <v>0</v>
      </c>
    </row>
    <row r="11" spans="1:11">
      <c r="A11" s="163">
        <v>2016</v>
      </c>
      <c r="B11" s="164">
        <v>7166</v>
      </c>
      <c r="C11" s="164">
        <v>135667</v>
      </c>
      <c r="D11" s="143">
        <v>134</v>
      </c>
      <c r="E11" s="143">
        <v>119</v>
      </c>
      <c r="G11" s="723">
        <v>2015</v>
      </c>
      <c r="H11" s="716">
        <v>7078</v>
      </c>
      <c r="I11" s="716">
        <v>133529</v>
      </c>
      <c r="J11" s="714">
        <v>133</v>
      </c>
      <c r="K11" s="714">
        <v>117</v>
      </c>
    </row>
    <row r="12" spans="1:11" s="160" customFormat="1">
      <c r="A12" s="163">
        <v>2019</v>
      </c>
      <c r="B12" s="164">
        <v>7930</v>
      </c>
      <c r="C12" s="164">
        <v>157817</v>
      </c>
      <c r="D12" s="143">
        <v>149</v>
      </c>
      <c r="E12" s="143">
        <v>139</v>
      </c>
      <c r="G12" s="714"/>
      <c r="H12" s="714"/>
      <c r="I12" s="714"/>
      <c r="J12" s="714"/>
      <c r="K12" s="714"/>
    </row>
    <row r="13" spans="1:11">
      <c r="A13" s="163">
        <v>2020</v>
      </c>
      <c r="B13" s="164">
        <v>7627</v>
      </c>
      <c r="C13" s="164">
        <v>144421</v>
      </c>
      <c r="D13" s="143">
        <v>143</v>
      </c>
      <c r="E13" s="143">
        <v>127</v>
      </c>
      <c r="G13" s="723">
        <v>2017</v>
      </c>
      <c r="H13" s="716">
        <v>7447</v>
      </c>
      <c r="I13" s="716">
        <v>147542</v>
      </c>
      <c r="J13" s="714">
        <v>140</v>
      </c>
      <c r="K13" s="714">
        <v>130</v>
      </c>
    </row>
    <row r="14" spans="1:11">
      <c r="A14" s="163">
        <v>2021</v>
      </c>
      <c r="B14" s="164">
        <v>9178</v>
      </c>
      <c r="C14" s="164">
        <v>178446</v>
      </c>
      <c r="D14" s="143">
        <v>172</v>
      </c>
      <c r="E14" s="143">
        <v>157</v>
      </c>
      <c r="G14" s="723">
        <v>2018</v>
      </c>
      <c r="H14" s="716">
        <v>8008</v>
      </c>
      <c r="I14" s="716">
        <v>156056</v>
      </c>
      <c r="J14" s="714">
        <v>150</v>
      </c>
      <c r="K14" s="714">
        <v>137</v>
      </c>
    </row>
    <row r="15" spans="1:11">
      <c r="A15" s="338">
        <v>2022</v>
      </c>
      <c r="B15" s="245">
        <v>10738</v>
      </c>
      <c r="C15" s="245">
        <v>215273</v>
      </c>
      <c r="D15" s="300">
        <v>201</v>
      </c>
      <c r="E15" s="300">
        <v>189</v>
      </c>
    </row>
    <row r="16" spans="1:11" s="160" customFormat="1" ht="17.25">
      <c r="A16" s="509" t="s">
        <v>704</v>
      </c>
      <c r="B16" s="510">
        <v>9591</v>
      </c>
      <c r="C16" s="510">
        <v>201637</v>
      </c>
      <c r="D16" s="499">
        <v>180</v>
      </c>
      <c r="E16" s="499">
        <v>177</v>
      </c>
    </row>
    <row r="17" spans="1:11" s="160" customFormat="1"/>
    <row r="18" spans="1:11" s="160" customFormat="1"/>
    <row r="19" spans="1:11" s="160" customFormat="1"/>
    <row r="20" spans="1:11" s="160" customFormat="1">
      <c r="A20" s="86"/>
      <c r="B20" s="92"/>
      <c r="C20" s="92"/>
      <c r="D20" s="33"/>
      <c r="E20" s="33"/>
    </row>
    <row r="21" spans="1:11">
      <c r="B21" s="845" t="s">
        <v>248</v>
      </c>
      <c r="C21" s="845"/>
      <c r="D21" s="846"/>
      <c r="E21" s="846"/>
      <c r="H21" s="6"/>
      <c r="I21" s="6"/>
    </row>
    <row r="22" spans="1:11">
      <c r="A22" s="72">
        <v>2010</v>
      </c>
      <c r="B22" s="6">
        <v>7514</v>
      </c>
      <c r="C22" s="6">
        <v>109372</v>
      </c>
      <c r="D22">
        <v>100</v>
      </c>
      <c r="E22">
        <v>100</v>
      </c>
      <c r="F22" s="714" t="s">
        <v>418</v>
      </c>
      <c r="G22" s="714"/>
    </row>
    <row r="23" spans="1:11">
      <c r="A23" s="163">
        <v>2013</v>
      </c>
      <c r="B23" s="164">
        <v>8389</v>
      </c>
      <c r="C23" s="164">
        <v>125812</v>
      </c>
      <c r="D23" s="143">
        <v>112</v>
      </c>
      <c r="E23" s="143">
        <v>115</v>
      </c>
    </row>
    <row r="24" spans="1:11" s="160" customFormat="1">
      <c r="A24" s="163">
        <v>2014</v>
      </c>
      <c r="B24" s="164">
        <v>8867</v>
      </c>
      <c r="C24" s="164">
        <v>128106</v>
      </c>
      <c r="D24" s="143">
        <v>118</v>
      </c>
      <c r="E24" s="143">
        <v>117</v>
      </c>
      <c r="F24"/>
      <c r="G24" s="163" t="s">
        <v>0</v>
      </c>
      <c r="H24" s="164" t="s">
        <v>0</v>
      </c>
      <c r="I24" s="164" t="s">
        <v>0</v>
      </c>
      <c r="J24" s="143" t="s">
        <v>0</v>
      </c>
      <c r="K24" s="143" t="s">
        <v>0</v>
      </c>
    </row>
    <row r="25" spans="1:11">
      <c r="A25" s="163">
        <v>2016</v>
      </c>
      <c r="B25" s="164">
        <v>9537</v>
      </c>
      <c r="C25" s="164">
        <v>131215</v>
      </c>
      <c r="D25" s="164">
        <v>127</v>
      </c>
      <c r="E25" s="164">
        <v>120</v>
      </c>
      <c r="G25" s="723">
        <v>2015</v>
      </c>
      <c r="H25" s="716">
        <v>9456</v>
      </c>
      <c r="I25" s="716">
        <v>131538</v>
      </c>
      <c r="J25" s="714">
        <v>126</v>
      </c>
      <c r="K25" s="714">
        <v>120</v>
      </c>
    </row>
    <row r="26" spans="1:11">
      <c r="A26" s="163">
        <v>2019</v>
      </c>
      <c r="B26" s="164">
        <v>10691</v>
      </c>
      <c r="C26" s="164">
        <v>153502</v>
      </c>
      <c r="D26" s="143">
        <v>142</v>
      </c>
      <c r="E26" s="143">
        <v>140</v>
      </c>
      <c r="G26" s="714"/>
      <c r="H26" s="714"/>
      <c r="I26" s="714"/>
      <c r="J26" s="714"/>
      <c r="K26" s="714"/>
    </row>
    <row r="27" spans="1:11">
      <c r="A27" s="163">
        <v>2020</v>
      </c>
      <c r="B27" s="164">
        <v>10417</v>
      </c>
      <c r="C27" s="164">
        <v>142566</v>
      </c>
      <c r="D27" s="143">
        <v>139</v>
      </c>
      <c r="E27" s="143">
        <v>130</v>
      </c>
      <c r="G27" s="723">
        <v>2017</v>
      </c>
      <c r="H27" s="716">
        <v>10216</v>
      </c>
      <c r="I27" s="716">
        <v>141940</v>
      </c>
      <c r="J27" s="714">
        <v>136</v>
      </c>
      <c r="K27" s="714">
        <v>130</v>
      </c>
    </row>
    <row r="28" spans="1:11">
      <c r="A28" s="163">
        <v>2021</v>
      </c>
      <c r="B28" s="164">
        <v>12601</v>
      </c>
      <c r="C28" s="164">
        <v>165586</v>
      </c>
      <c r="D28" s="143">
        <v>168</v>
      </c>
      <c r="E28" s="143">
        <v>151</v>
      </c>
      <c r="G28" s="723">
        <v>2018</v>
      </c>
      <c r="H28" s="716">
        <v>10497</v>
      </c>
      <c r="I28" s="716">
        <v>150071</v>
      </c>
      <c r="J28" s="714">
        <v>140</v>
      </c>
      <c r="K28" s="714">
        <v>137</v>
      </c>
    </row>
    <row r="29" spans="1:11">
      <c r="A29" s="338">
        <v>2022</v>
      </c>
      <c r="B29" s="245">
        <v>13644</v>
      </c>
      <c r="C29" s="245">
        <v>194679</v>
      </c>
      <c r="D29" s="300">
        <v>182</v>
      </c>
      <c r="E29" s="300">
        <v>178</v>
      </c>
      <c r="F29" s="160"/>
    </row>
    <row r="30" spans="1:11" s="160" customFormat="1" ht="17.25">
      <c r="A30" s="509" t="s">
        <v>704</v>
      </c>
      <c r="B30" s="510">
        <v>13218</v>
      </c>
      <c r="C30" s="510">
        <v>200547</v>
      </c>
      <c r="D30" s="499">
        <v>176</v>
      </c>
      <c r="E30" s="499">
        <v>183</v>
      </c>
    </row>
    <row r="31" spans="1:11" s="160" customFormat="1"/>
    <row r="32" spans="1:11" s="160" customFormat="1"/>
    <row r="33" spans="1:8" s="160" customFormat="1"/>
    <row r="34" spans="1:8" s="160" customFormat="1">
      <c r="A34" s="86"/>
      <c r="B34" s="92"/>
      <c r="C34" s="92"/>
      <c r="D34" s="226"/>
      <c r="E34" s="226"/>
    </row>
    <row r="35" spans="1:8" s="160" customFormat="1">
      <c r="A35" s="86"/>
      <c r="B35" s="92"/>
      <c r="C35" s="92"/>
      <c r="D35" s="226"/>
      <c r="E35" s="226"/>
    </row>
    <row r="36" spans="1:8">
      <c r="B36" s="845" t="s">
        <v>284</v>
      </c>
      <c r="C36" s="845"/>
      <c r="D36" s="846"/>
      <c r="E36" s="846"/>
    </row>
    <row r="37" spans="1:8" s="160" customFormat="1"/>
    <row r="38" spans="1:8">
      <c r="A38">
        <v>2010</v>
      </c>
      <c r="B38" s="6">
        <v>2185</v>
      </c>
      <c r="C38" s="6">
        <v>-4279</v>
      </c>
    </row>
    <row r="39" spans="1:8">
      <c r="A39" s="163">
        <v>2013</v>
      </c>
      <c r="B39" s="164">
        <v>2189</v>
      </c>
      <c r="C39" s="164">
        <v>-4895</v>
      </c>
    </row>
    <row r="40" spans="1:8" s="160" customFormat="1">
      <c r="A40" s="163">
        <v>2014</v>
      </c>
      <c r="B40" s="164">
        <v>2168</v>
      </c>
      <c r="C40" s="164">
        <v>-1741</v>
      </c>
    </row>
    <row r="41" spans="1:8" s="160" customFormat="1">
      <c r="A41" s="163">
        <v>2016</v>
      </c>
      <c r="B41" s="164">
        <v>2371</v>
      </c>
      <c r="C41" s="164">
        <v>-4542</v>
      </c>
      <c r="E41" s="782">
        <v>2015</v>
      </c>
      <c r="F41" s="716">
        <v>2378</v>
      </c>
      <c r="G41" s="716">
        <v>-1991</v>
      </c>
    </row>
    <row r="42" spans="1:8" s="160" customFormat="1">
      <c r="A42" s="163">
        <v>2019</v>
      </c>
      <c r="B42" s="164">
        <v>2761</v>
      </c>
      <c r="C42" s="164">
        <v>-4316</v>
      </c>
      <c r="E42" s="714"/>
      <c r="F42" s="714"/>
      <c r="G42" s="714"/>
    </row>
    <row r="43" spans="1:8">
      <c r="A43" s="163">
        <v>2020</v>
      </c>
      <c r="B43" s="164">
        <v>2790</v>
      </c>
      <c r="C43" s="164">
        <v>-1855</v>
      </c>
      <c r="E43" s="723">
        <v>2017</v>
      </c>
      <c r="F43" s="716">
        <v>2769</v>
      </c>
      <c r="G43" s="716">
        <v>-5603</v>
      </c>
    </row>
    <row r="44" spans="1:8">
      <c r="A44" s="163">
        <v>2021</v>
      </c>
      <c r="B44" s="164">
        <v>3424</v>
      </c>
      <c r="C44" s="164">
        <v>-12860</v>
      </c>
      <c r="E44" s="723">
        <v>2018</v>
      </c>
      <c r="F44" s="716">
        <v>2490</v>
      </c>
      <c r="G44" s="716">
        <v>-5985</v>
      </c>
    </row>
    <row r="45" spans="1:8" s="160" customFormat="1">
      <c r="A45" s="338">
        <v>2022</v>
      </c>
      <c r="B45" s="245">
        <v>2907</v>
      </c>
      <c r="C45" s="245">
        <v>-20593</v>
      </c>
    </row>
    <row r="46" spans="1:8" ht="17.25">
      <c r="A46" s="509" t="s">
        <v>704</v>
      </c>
      <c r="B46" s="510">
        <v>3627</v>
      </c>
      <c r="C46" s="510">
        <v>-1090</v>
      </c>
      <c r="H46" s="6"/>
    </row>
    <row r="47" spans="1:8" s="160" customFormat="1">
      <c r="H47" s="6"/>
    </row>
    <row r="48" spans="1:8" s="160" customFormat="1">
      <c r="A48" s="75" t="s">
        <v>656</v>
      </c>
      <c r="B48" s="75"/>
      <c r="C48" s="75"/>
      <c r="D48" s="75"/>
      <c r="H48" s="6"/>
    </row>
    <row r="49" spans="1:18" s="160" customFormat="1">
      <c r="A49" s="75" t="s">
        <v>435</v>
      </c>
      <c r="B49" s="75"/>
      <c r="C49" s="75"/>
      <c r="D49" s="75"/>
      <c r="H49" s="6"/>
    </row>
    <row r="52" spans="1:18">
      <c r="E52" s="160"/>
      <c r="F52" s="160"/>
      <c r="G52" s="160"/>
      <c r="H52" s="160"/>
    </row>
    <row r="53" spans="1:18">
      <c r="E53" s="160"/>
      <c r="F53" s="160"/>
      <c r="G53" s="160"/>
      <c r="H53" s="160"/>
    </row>
    <row r="54" spans="1:18">
      <c r="A54" s="160"/>
      <c r="B54" s="160"/>
      <c r="C54" s="160"/>
      <c r="D54" s="160"/>
      <c r="E54" s="160"/>
      <c r="F54" s="160"/>
      <c r="G54" s="160"/>
      <c r="H54" s="160"/>
    </row>
    <row r="55" spans="1:18">
      <c r="A55" s="5" t="s">
        <v>521</v>
      </c>
    </row>
    <row r="56" spans="1:18">
      <c r="A56" t="s">
        <v>285</v>
      </c>
    </row>
    <row r="57" spans="1:18" ht="30">
      <c r="A57" s="143"/>
      <c r="B57" s="485" t="s">
        <v>632</v>
      </c>
      <c r="C57" s="172" t="s">
        <v>243</v>
      </c>
      <c r="D57" s="554" t="s">
        <v>626</v>
      </c>
      <c r="E57" s="172" t="s">
        <v>633</v>
      </c>
      <c r="F57" s="555" t="s">
        <v>286</v>
      </c>
      <c r="G57" s="172" t="s">
        <v>241</v>
      </c>
      <c r="H57" s="555" t="s">
        <v>287</v>
      </c>
    </row>
    <row r="58" spans="1:18">
      <c r="A58" s="300">
        <v>2010</v>
      </c>
      <c r="B58" s="491">
        <v>4441.1000000000004</v>
      </c>
      <c r="C58" s="491">
        <v>1271.8</v>
      </c>
      <c r="D58" s="491">
        <v>404.4</v>
      </c>
      <c r="E58" s="491">
        <v>170.6</v>
      </c>
      <c r="F58" s="491">
        <v>299.89999999999998</v>
      </c>
      <c r="G58" s="491">
        <v>625.9</v>
      </c>
      <c r="H58" s="491">
        <v>299.8</v>
      </c>
      <c r="J58" s="98" t="s">
        <v>0</v>
      </c>
      <c r="K58" s="714">
        <v>1996</v>
      </c>
      <c r="L58" s="718">
        <v>1942.5</v>
      </c>
      <c r="M58" s="718">
        <v>582.1</v>
      </c>
      <c r="N58" s="718">
        <v>26.8</v>
      </c>
      <c r="O58" s="714"/>
      <c r="P58" s="718">
        <v>119</v>
      </c>
      <c r="Q58" s="718">
        <v>108.2</v>
      </c>
      <c r="R58" s="718">
        <v>56.3</v>
      </c>
    </row>
    <row r="59" spans="1:18">
      <c r="A59" s="300">
        <v>2013</v>
      </c>
      <c r="B59" s="491">
        <v>4609.3999999999996</v>
      </c>
      <c r="C59" s="491">
        <v>1498.6</v>
      </c>
      <c r="D59" s="491">
        <v>424.3</v>
      </c>
      <c r="E59" s="491">
        <v>296.3</v>
      </c>
      <c r="F59" s="491">
        <v>422</v>
      </c>
      <c r="G59" s="491">
        <v>690.3</v>
      </c>
      <c r="H59" s="491">
        <v>447.9</v>
      </c>
      <c r="J59" s="98" t="s">
        <v>0</v>
      </c>
      <c r="K59" s="714">
        <v>2000</v>
      </c>
      <c r="L59" s="718">
        <v>2943.6</v>
      </c>
      <c r="M59" s="718">
        <v>917.1</v>
      </c>
      <c r="N59" s="718">
        <v>58.7</v>
      </c>
      <c r="O59" s="714"/>
      <c r="P59" s="718">
        <v>228.8</v>
      </c>
      <c r="Q59" s="718">
        <v>229.7</v>
      </c>
      <c r="R59" s="718">
        <v>149.9</v>
      </c>
    </row>
    <row r="60" spans="1:18">
      <c r="A60" s="338">
        <v>2014</v>
      </c>
      <c r="B60" s="491">
        <v>4977.3</v>
      </c>
      <c r="C60" s="491">
        <v>1524</v>
      </c>
      <c r="D60" s="491">
        <v>465.1</v>
      </c>
      <c r="E60" s="491">
        <v>206</v>
      </c>
      <c r="F60" s="491">
        <v>468.8</v>
      </c>
      <c r="G60" s="491">
        <v>723.5</v>
      </c>
      <c r="H60" s="491">
        <v>502.7</v>
      </c>
      <c r="J60" s="98" t="s">
        <v>0</v>
      </c>
      <c r="K60" s="714">
        <v>2002</v>
      </c>
      <c r="L60" s="718">
        <v>3142.6</v>
      </c>
      <c r="M60" s="718">
        <v>907.9</v>
      </c>
      <c r="N60" s="718">
        <v>83.7</v>
      </c>
      <c r="O60" s="714"/>
      <c r="P60" s="718">
        <v>275.10000000000002</v>
      </c>
      <c r="Q60" s="718">
        <v>249.8</v>
      </c>
      <c r="R60" s="718">
        <v>201.4</v>
      </c>
    </row>
    <row r="61" spans="1:18">
      <c r="A61" s="338">
        <v>2015</v>
      </c>
      <c r="B61" s="491">
        <v>5217.2</v>
      </c>
      <c r="C61" s="491">
        <v>1601.5</v>
      </c>
      <c r="D61" s="491">
        <v>516.9</v>
      </c>
      <c r="E61" s="491">
        <v>153.5</v>
      </c>
      <c r="F61" s="491">
        <v>573.6</v>
      </c>
      <c r="G61" s="491">
        <v>892.1</v>
      </c>
      <c r="H61" s="491">
        <v>501</v>
      </c>
      <c r="J61" s="98" t="s">
        <v>0</v>
      </c>
      <c r="K61" s="723">
        <v>2004</v>
      </c>
      <c r="L61" s="718">
        <v>3497.9</v>
      </c>
      <c r="M61" s="718">
        <v>994.6</v>
      </c>
      <c r="N61" s="718">
        <v>144.1</v>
      </c>
      <c r="O61" s="714"/>
      <c r="P61" s="718">
        <v>285.3</v>
      </c>
      <c r="Q61" s="718">
        <v>315.10000000000002</v>
      </c>
      <c r="R61" s="718">
        <v>185.1</v>
      </c>
    </row>
    <row r="62" spans="1:18">
      <c r="A62" s="338">
        <v>2016</v>
      </c>
      <c r="B62" s="491">
        <v>5418.6</v>
      </c>
      <c r="C62" s="491">
        <v>1564.2</v>
      </c>
      <c r="D62" s="491">
        <v>464.8</v>
      </c>
      <c r="E62" s="491">
        <v>156.80000000000001</v>
      </c>
      <c r="F62" s="491">
        <v>593.5</v>
      </c>
      <c r="G62" s="491">
        <v>812.9</v>
      </c>
      <c r="H62" s="491">
        <v>526.1</v>
      </c>
      <c r="J62" s="98" t="s">
        <v>0</v>
      </c>
      <c r="K62" s="723">
        <v>2006</v>
      </c>
      <c r="L62" s="718">
        <v>4323.3</v>
      </c>
      <c r="M62" s="718">
        <v>1108.0999999999999</v>
      </c>
      <c r="N62" s="718">
        <v>211.3</v>
      </c>
      <c r="O62" s="714"/>
      <c r="P62" s="718">
        <v>291.8</v>
      </c>
      <c r="Q62" s="718">
        <v>314.7</v>
      </c>
      <c r="R62" s="718">
        <v>206.9</v>
      </c>
    </row>
    <row r="63" spans="1:18">
      <c r="A63" s="338">
        <v>2017</v>
      </c>
      <c r="B63" s="491">
        <v>5799.3</v>
      </c>
      <c r="C63" s="491">
        <v>1585.1</v>
      </c>
      <c r="D63" s="491">
        <v>510.9</v>
      </c>
      <c r="E63" s="491">
        <v>178.2</v>
      </c>
      <c r="F63" s="491">
        <v>567.5</v>
      </c>
      <c r="G63" s="491">
        <v>904.1</v>
      </c>
      <c r="H63" s="491">
        <v>671</v>
      </c>
    </row>
    <row r="64" spans="1:18">
      <c r="A64" s="338">
        <v>2018</v>
      </c>
      <c r="B64" s="491">
        <v>6171.8</v>
      </c>
      <c r="C64" s="491">
        <v>1572.1</v>
      </c>
      <c r="D64" s="491">
        <v>491.9</v>
      </c>
      <c r="E64" s="491">
        <v>151</v>
      </c>
      <c r="F64" s="491">
        <v>640.9</v>
      </c>
      <c r="G64" s="491">
        <v>844.9</v>
      </c>
      <c r="H64" s="491">
        <v>624.70000000000005</v>
      </c>
    </row>
    <row r="65" spans="1:12">
      <c r="A65" s="338">
        <v>2019</v>
      </c>
      <c r="B65" s="491">
        <v>6215.7</v>
      </c>
      <c r="C65" s="491">
        <v>1608.1</v>
      </c>
      <c r="D65" s="491">
        <v>510.2</v>
      </c>
      <c r="E65" s="491">
        <v>165.4</v>
      </c>
      <c r="F65" s="491">
        <v>674.3</v>
      </c>
      <c r="G65" s="491">
        <v>896.9</v>
      </c>
      <c r="H65" s="491">
        <v>619.9</v>
      </c>
    </row>
    <row r="66" spans="1:12">
      <c r="A66" s="338">
        <v>2020</v>
      </c>
      <c r="B66" s="491">
        <v>6072.3</v>
      </c>
      <c r="C66" s="491">
        <v>1554</v>
      </c>
      <c r="D66" s="491">
        <v>490.5</v>
      </c>
      <c r="E66" s="491">
        <v>189.8</v>
      </c>
      <c r="F66" s="491">
        <v>603.1</v>
      </c>
      <c r="G66" s="491">
        <v>882.7</v>
      </c>
      <c r="H66" s="491">
        <v>624.70000000000005</v>
      </c>
      <c r="I66" s="130" t="s">
        <v>0</v>
      </c>
      <c r="J66" s="130"/>
      <c r="K66" s="130"/>
      <c r="L66" s="130"/>
    </row>
    <row r="67" spans="1:12">
      <c r="A67" s="338">
        <v>2021</v>
      </c>
      <c r="B67" s="491">
        <v>7527.6</v>
      </c>
      <c r="C67" s="491">
        <v>1629.5</v>
      </c>
      <c r="D67" s="491">
        <v>608.4</v>
      </c>
      <c r="E67" s="491">
        <v>236.9</v>
      </c>
      <c r="F67" s="491">
        <v>786.4</v>
      </c>
      <c r="G67" s="491">
        <v>1050.7</v>
      </c>
      <c r="H67" s="491">
        <v>762</v>
      </c>
    </row>
    <row r="68" spans="1:12">
      <c r="A68" s="684">
        <v>2022</v>
      </c>
      <c r="B68" s="491">
        <v>8192.2999999999993</v>
      </c>
      <c r="C68" s="491">
        <v>1865.8</v>
      </c>
      <c r="D68" s="491">
        <v>630</v>
      </c>
      <c r="E68" s="491">
        <v>125.5</v>
      </c>
      <c r="F68" s="491">
        <v>976.8</v>
      </c>
      <c r="G68" s="491">
        <v>1119.5999999999999</v>
      </c>
      <c r="H68" s="491">
        <v>734.3</v>
      </c>
    </row>
    <row r="69" spans="1:12" ht="17.25">
      <c r="A69" s="688" t="s">
        <v>705</v>
      </c>
      <c r="B69" s="689">
        <v>7909.4</v>
      </c>
      <c r="C69" s="689">
        <v>1846.9</v>
      </c>
      <c r="D69" s="689">
        <v>619</v>
      </c>
      <c r="E69" s="689">
        <v>124.3</v>
      </c>
      <c r="F69" s="689">
        <v>902.2</v>
      </c>
      <c r="G69" s="689">
        <v>1000.3</v>
      </c>
      <c r="H69" s="689">
        <v>816.1</v>
      </c>
    </row>
    <row r="72" spans="1:12" s="160" customFormat="1"/>
    <row r="74" spans="1:12" s="160" customFormat="1"/>
    <row r="75" spans="1:12" s="160" customFormat="1">
      <c r="A75" s="684"/>
      <c r="B75" s="491"/>
      <c r="C75" s="491"/>
      <c r="D75" s="491"/>
      <c r="E75" s="491"/>
      <c r="F75" s="491"/>
      <c r="G75" s="491"/>
      <c r="H75" s="491"/>
    </row>
    <row r="84" spans="1:19">
      <c r="J84" s="130" t="s">
        <v>0</v>
      </c>
      <c r="K84" s="638" t="s">
        <v>627</v>
      </c>
      <c r="L84" s="638"/>
      <c r="M84" s="638"/>
    </row>
    <row r="94" spans="1:19" s="160" customFormat="1"/>
    <row r="95" spans="1:19" s="160" customFormat="1">
      <c r="A95" s="75" t="s">
        <v>656</v>
      </c>
      <c r="B95" s="75"/>
      <c r="C95"/>
      <c r="D95"/>
      <c r="E95"/>
      <c r="F95"/>
      <c r="G95"/>
      <c r="H95"/>
      <c r="I95"/>
      <c r="J95"/>
      <c r="K95"/>
      <c r="L95"/>
      <c r="M95"/>
      <c r="N95"/>
      <c r="O95"/>
      <c r="P95"/>
      <c r="Q95"/>
      <c r="R95"/>
      <c r="S95"/>
    </row>
    <row r="96" spans="1:19">
      <c r="A96" s="674" t="s">
        <v>665</v>
      </c>
      <c r="B96" s="503"/>
      <c r="C96" s="503"/>
      <c r="D96" s="503"/>
      <c r="E96" s="503"/>
      <c r="F96" s="308"/>
      <c r="G96" s="308"/>
    </row>
    <row r="97" spans="1:21">
      <c r="A97" s="553" t="s">
        <v>631</v>
      </c>
      <c r="B97" s="75"/>
      <c r="C97" s="75"/>
      <c r="D97" s="75"/>
      <c r="E97" s="75"/>
      <c r="F97" s="75"/>
      <c r="G97" s="75"/>
      <c r="H97" s="75"/>
      <c r="I97" s="75"/>
      <c r="J97" s="75"/>
      <c r="K97" s="75"/>
      <c r="L97" s="75"/>
      <c r="M97" s="75"/>
      <c r="N97" s="75"/>
      <c r="O97" s="75"/>
      <c r="P97" s="75"/>
      <c r="Q97" s="75"/>
      <c r="R97" s="75"/>
      <c r="S97" s="75"/>
    </row>
    <row r="99" spans="1:21">
      <c r="A99" s="75" t="s">
        <v>435</v>
      </c>
      <c r="B99" s="75"/>
      <c r="C99" s="75"/>
      <c r="D99" s="75"/>
    </row>
    <row r="101" spans="1:21">
      <c r="T101" s="75"/>
      <c r="U101" s="75"/>
    </row>
  </sheetData>
  <customSheetViews>
    <customSheetView guid="{00BB8FC3-0B7F-4485-B1CD-FF164EC3970C}" fitToPage="1">
      <selection activeCell="K68" sqref="K68"/>
      <pageMargins left="0.7" right="0.7" top="0.78740157499999996" bottom="0.78740157499999996" header="0.3" footer="0.3"/>
      <pageSetup paperSize="9" scale="60" orientation="portrait" r:id="rId1"/>
    </customSheetView>
    <customSheetView guid="{5DDDE19F-F10F-4514-A83C-F71CDD7BE512}" fitToPage="1">
      <selection activeCell="K68" sqref="K68"/>
      <pageMargins left="0.7" right="0.7" top="0.78740157499999996" bottom="0.78740157499999996" header="0.3" footer="0.3"/>
      <pageSetup paperSize="9" scale="60" orientation="portrait" r:id="rId2"/>
    </customSheetView>
    <customSheetView guid="{9A6D0F5E-68D7-4772-8712-9975EE0A4B2C}" fitToPage="1">
      <selection activeCell="K68" sqref="K68"/>
      <pageMargins left="0.7" right="0.7" top="0.78740157499999996" bottom="0.78740157499999996" header="0.3" footer="0.3"/>
      <pageSetup paperSize="9" scale="60" orientation="portrait" r:id="rId3"/>
    </customSheetView>
  </customSheetViews>
  <mergeCells count="5">
    <mergeCell ref="B36:E36"/>
    <mergeCell ref="B4:C4"/>
    <mergeCell ref="D4:E4"/>
    <mergeCell ref="B7:E7"/>
    <mergeCell ref="B21:E21"/>
  </mergeCells>
  <pageMargins left="0.7" right="0.7" top="0.78740157499999996" bottom="0.78740157499999996" header="0.3" footer="0.3"/>
  <pageSetup paperSize="9" scale="45" orientation="portrait" r:id="rId4"/>
  <drawing r:id="rId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M42"/>
  <sheetViews>
    <sheetView workbookViewId="0">
      <selection activeCell="M11" sqref="M11"/>
    </sheetView>
  </sheetViews>
  <sheetFormatPr baseColWidth="10" defaultRowHeight="15"/>
  <cols>
    <col min="1" max="1" width="31.7109375" customWidth="1"/>
  </cols>
  <sheetData>
    <row r="1" spans="1:13" ht="39.75" customHeight="1">
      <c r="A1" s="796" t="s">
        <v>242</v>
      </c>
      <c r="B1" s="796"/>
    </row>
    <row r="3" spans="1:13">
      <c r="A3" s="5" t="s">
        <v>259</v>
      </c>
    </row>
    <row r="5" spans="1:13" ht="17.25">
      <c r="A5" s="5" t="s">
        <v>260</v>
      </c>
      <c r="B5" s="5">
        <v>2013</v>
      </c>
      <c r="C5" s="210">
        <v>2014</v>
      </c>
      <c r="D5" s="210">
        <v>2016</v>
      </c>
      <c r="E5" s="210">
        <v>2019</v>
      </c>
      <c r="F5" s="210">
        <v>2020</v>
      </c>
      <c r="G5" s="210">
        <v>2021</v>
      </c>
      <c r="H5" s="556">
        <v>2022</v>
      </c>
      <c r="I5" s="556" t="s">
        <v>705</v>
      </c>
      <c r="K5" s="755">
        <v>2015</v>
      </c>
      <c r="L5" s="755">
        <v>2017</v>
      </c>
      <c r="M5" s="755">
        <v>2018</v>
      </c>
    </row>
    <row r="6" spans="1:13">
      <c r="B6" s="847" t="s">
        <v>261</v>
      </c>
      <c r="C6" s="847"/>
      <c r="D6" s="847"/>
      <c r="E6" s="143"/>
      <c r="F6" s="143"/>
      <c r="G6" s="143"/>
      <c r="H6" s="160"/>
      <c r="K6" s="714"/>
      <c r="L6" s="714"/>
      <c r="M6" s="714"/>
    </row>
    <row r="7" spans="1:13">
      <c r="A7" t="s">
        <v>262</v>
      </c>
      <c r="B7" s="6">
        <v>833</v>
      </c>
      <c r="C7" s="164">
        <v>860</v>
      </c>
      <c r="D7" s="164">
        <v>894</v>
      </c>
      <c r="E7" s="164">
        <v>1088</v>
      </c>
      <c r="F7" s="164">
        <v>1126</v>
      </c>
      <c r="G7" s="164">
        <v>1461</v>
      </c>
      <c r="H7" s="164">
        <v>1274</v>
      </c>
      <c r="I7" s="164">
        <v>1603</v>
      </c>
      <c r="K7" s="716">
        <v>895</v>
      </c>
      <c r="L7" s="716">
        <v>922</v>
      </c>
      <c r="M7" s="716">
        <v>1006</v>
      </c>
    </row>
    <row r="8" spans="1:13">
      <c r="A8" t="s">
        <v>263</v>
      </c>
      <c r="B8" s="6">
        <v>615</v>
      </c>
      <c r="C8" s="164">
        <v>662</v>
      </c>
      <c r="D8" s="164">
        <v>705</v>
      </c>
      <c r="E8" s="164">
        <v>791</v>
      </c>
      <c r="F8" s="164">
        <v>940</v>
      </c>
      <c r="G8" s="164">
        <v>1163</v>
      </c>
      <c r="H8" s="164">
        <v>1239</v>
      </c>
      <c r="I8" s="164">
        <v>977</v>
      </c>
      <c r="K8" s="716">
        <v>695</v>
      </c>
      <c r="L8" s="716">
        <v>768</v>
      </c>
      <c r="M8" s="714">
        <v>797</v>
      </c>
    </row>
    <row r="9" spans="1:13">
      <c r="A9" t="s">
        <v>509</v>
      </c>
      <c r="B9" s="6">
        <v>115</v>
      </c>
      <c r="C9" s="164">
        <v>117</v>
      </c>
      <c r="D9" s="164">
        <v>120</v>
      </c>
      <c r="E9" s="164">
        <v>121</v>
      </c>
      <c r="F9" s="164">
        <v>119</v>
      </c>
      <c r="G9" s="164">
        <v>154</v>
      </c>
      <c r="H9" s="164">
        <v>177</v>
      </c>
      <c r="I9" s="164">
        <v>161</v>
      </c>
      <c r="K9" s="716">
        <v>128</v>
      </c>
      <c r="L9" s="716">
        <v>120</v>
      </c>
      <c r="M9" s="714">
        <v>126</v>
      </c>
    </row>
    <row r="10" spans="1:13">
      <c r="A10" t="s">
        <v>264</v>
      </c>
      <c r="B10" s="6">
        <v>246</v>
      </c>
      <c r="C10" s="164">
        <v>250</v>
      </c>
      <c r="D10" s="164">
        <v>254</v>
      </c>
      <c r="E10" s="164">
        <v>268</v>
      </c>
      <c r="F10" s="164">
        <v>292</v>
      </c>
      <c r="G10" s="164">
        <v>317</v>
      </c>
      <c r="H10" s="164">
        <v>361</v>
      </c>
      <c r="I10" s="164">
        <v>331</v>
      </c>
      <c r="K10" s="716">
        <v>258</v>
      </c>
      <c r="L10" s="716">
        <v>269</v>
      </c>
      <c r="M10" s="714">
        <v>274</v>
      </c>
    </row>
    <row r="11" spans="1:13">
      <c r="A11" t="s">
        <v>533</v>
      </c>
      <c r="B11" s="6">
        <v>725</v>
      </c>
      <c r="C11" s="164">
        <v>772</v>
      </c>
      <c r="D11" s="164">
        <v>837</v>
      </c>
      <c r="E11" s="164">
        <v>903</v>
      </c>
      <c r="F11" s="164">
        <v>832</v>
      </c>
      <c r="G11" s="164">
        <v>978</v>
      </c>
      <c r="H11" s="164">
        <v>1018</v>
      </c>
      <c r="I11" s="164">
        <v>984</v>
      </c>
      <c r="K11" s="716">
        <v>813</v>
      </c>
      <c r="L11" s="716">
        <v>867</v>
      </c>
      <c r="M11" s="714">
        <v>926</v>
      </c>
    </row>
    <row r="12" spans="1:13">
      <c r="A12" t="s">
        <v>265</v>
      </c>
      <c r="B12" s="6">
        <v>2132</v>
      </c>
      <c r="C12" s="164">
        <v>2361</v>
      </c>
      <c r="D12" s="164">
        <v>2619</v>
      </c>
      <c r="E12" s="164">
        <v>2995</v>
      </c>
      <c r="F12" s="164">
        <v>2775</v>
      </c>
      <c r="G12" s="164">
        <v>3556</v>
      </c>
      <c r="H12" s="164">
        <v>4034</v>
      </c>
      <c r="I12" s="164">
        <v>3346</v>
      </c>
      <c r="K12" s="716">
        <v>2504</v>
      </c>
      <c r="L12" s="716">
        <v>2784</v>
      </c>
      <c r="M12" s="716">
        <v>2988</v>
      </c>
    </row>
    <row r="13" spans="1:13">
      <c r="A13" t="s">
        <v>266</v>
      </c>
      <c r="B13" s="6">
        <v>1844</v>
      </c>
      <c r="C13" s="164">
        <v>1794</v>
      </c>
      <c r="D13" s="164">
        <v>1969</v>
      </c>
      <c r="E13" s="164">
        <v>1976</v>
      </c>
      <c r="F13" s="164">
        <v>1970</v>
      </c>
      <c r="G13" s="164">
        <v>2302</v>
      </c>
      <c r="H13" s="164">
        <v>2481</v>
      </c>
      <c r="I13" s="164">
        <v>2721</v>
      </c>
      <c r="K13" s="716">
        <v>1943</v>
      </c>
      <c r="L13" s="716">
        <v>2205</v>
      </c>
      <c r="M13" s="716">
        <v>2037</v>
      </c>
    </row>
    <row r="14" spans="1:13">
      <c r="A14" t="s">
        <v>267</v>
      </c>
      <c r="B14" s="6">
        <v>636</v>
      </c>
      <c r="C14" s="164">
        <v>699</v>
      </c>
      <c r="D14" s="164">
        <v>783</v>
      </c>
      <c r="E14" s="164">
        <v>876</v>
      </c>
      <c r="F14" s="164">
        <v>796</v>
      </c>
      <c r="G14" s="164">
        <v>859</v>
      </c>
      <c r="H14" s="164">
        <v>1117</v>
      </c>
      <c r="I14" s="164">
        <v>1088</v>
      </c>
      <c r="K14" s="716">
        <v>783</v>
      </c>
      <c r="L14" s="716">
        <v>858</v>
      </c>
      <c r="M14" s="714">
        <v>873</v>
      </c>
    </row>
    <row r="15" spans="1:13">
      <c r="A15" t="s">
        <v>268</v>
      </c>
      <c r="B15" s="6">
        <v>238</v>
      </c>
      <c r="C15" s="164">
        <v>246</v>
      </c>
      <c r="D15" s="164">
        <v>275</v>
      </c>
      <c r="E15" s="164">
        <v>315</v>
      </c>
      <c r="F15" s="164">
        <v>292</v>
      </c>
      <c r="G15" s="164">
        <v>355</v>
      </c>
      <c r="H15" s="164">
        <v>385</v>
      </c>
      <c r="I15" s="164">
        <v>406</v>
      </c>
      <c r="K15" s="716">
        <v>284</v>
      </c>
      <c r="L15" s="716">
        <v>292</v>
      </c>
      <c r="M15" s="714">
        <v>309</v>
      </c>
    </row>
    <row r="16" spans="1:13">
      <c r="A16" t="s">
        <v>269</v>
      </c>
      <c r="B16" s="6">
        <v>252</v>
      </c>
      <c r="C16" s="164">
        <v>280</v>
      </c>
      <c r="D16" s="164">
        <v>335</v>
      </c>
      <c r="E16" s="164">
        <v>400</v>
      </c>
      <c r="F16" s="164">
        <v>366</v>
      </c>
      <c r="G16" s="164">
        <v>417</v>
      </c>
      <c r="H16" s="164">
        <v>412</v>
      </c>
      <c r="I16" s="164">
        <v>466</v>
      </c>
      <c r="K16" s="716">
        <v>325</v>
      </c>
      <c r="L16" s="716">
        <v>356</v>
      </c>
      <c r="M16" s="714">
        <v>374</v>
      </c>
    </row>
    <row r="17" spans="1:13">
      <c r="A17" t="s">
        <v>270</v>
      </c>
      <c r="B17" s="6">
        <v>473</v>
      </c>
      <c r="C17" s="164">
        <v>527</v>
      </c>
      <c r="D17" s="164">
        <v>383</v>
      </c>
      <c r="E17" s="164">
        <v>551</v>
      </c>
      <c r="F17" s="164">
        <v>525</v>
      </c>
      <c r="G17" s="164">
        <v>574</v>
      </c>
      <c r="H17" s="164">
        <v>614</v>
      </c>
      <c r="I17" s="164">
        <v>600</v>
      </c>
      <c r="K17" s="716">
        <v>499</v>
      </c>
      <c r="L17" s="716">
        <v>409</v>
      </c>
      <c r="M17" s="714">
        <v>418</v>
      </c>
    </row>
    <row r="18" spans="1:13">
      <c r="A18" t="s">
        <v>271</v>
      </c>
      <c r="B18" s="6">
        <v>185</v>
      </c>
      <c r="C18" s="164">
        <v>205</v>
      </c>
      <c r="D18" s="164">
        <v>252</v>
      </c>
      <c r="E18" s="164">
        <v>407</v>
      </c>
      <c r="F18" s="164">
        <v>364</v>
      </c>
      <c r="G18" s="164">
        <v>406</v>
      </c>
      <c r="H18" s="164">
        <v>476</v>
      </c>
      <c r="I18" s="164">
        <v>471</v>
      </c>
      <c r="K18" s="716">
        <v>223</v>
      </c>
      <c r="L18" s="716">
        <v>363</v>
      </c>
      <c r="M18" s="714">
        <v>368</v>
      </c>
    </row>
    <row r="19" spans="1:13">
      <c r="A19" s="460" t="s">
        <v>47</v>
      </c>
      <c r="B19" s="490">
        <v>8389</v>
      </c>
      <c r="C19" s="464">
        <v>8867</v>
      </c>
      <c r="D19" s="464">
        <v>9537</v>
      </c>
      <c r="E19" s="464">
        <v>10691</v>
      </c>
      <c r="F19" s="464">
        <v>10417</v>
      </c>
      <c r="G19" s="464">
        <v>12601</v>
      </c>
      <c r="H19" s="464">
        <v>13644</v>
      </c>
      <c r="I19" s="464">
        <v>13218</v>
      </c>
      <c r="K19" s="716">
        <v>9456</v>
      </c>
      <c r="L19" s="716">
        <v>10216</v>
      </c>
      <c r="M19" s="751">
        <v>10497</v>
      </c>
    </row>
    <row r="20" spans="1:13">
      <c r="K20" s="714"/>
      <c r="L20" s="714"/>
      <c r="M20" s="714"/>
    </row>
    <row r="21" spans="1:13">
      <c r="A21" s="5" t="s">
        <v>272</v>
      </c>
      <c r="K21" s="714"/>
      <c r="L21" s="714"/>
      <c r="M21" s="714"/>
    </row>
    <row r="22" spans="1:13" ht="17.25">
      <c r="A22" s="5" t="s">
        <v>273</v>
      </c>
      <c r="B22" s="172">
        <v>2013</v>
      </c>
      <c r="C22" s="172">
        <v>2014</v>
      </c>
      <c r="D22" s="210">
        <v>2016</v>
      </c>
      <c r="E22" s="210">
        <v>2019</v>
      </c>
      <c r="F22" s="210">
        <v>2020</v>
      </c>
      <c r="G22" s="210">
        <v>2021</v>
      </c>
      <c r="H22" s="556">
        <v>2022</v>
      </c>
      <c r="I22" s="556" t="s">
        <v>705</v>
      </c>
      <c r="K22" s="755">
        <v>2015</v>
      </c>
      <c r="L22" s="755">
        <v>2017</v>
      </c>
      <c r="M22" s="755">
        <v>2018</v>
      </c>
    </row>
    <row r="23" spans="1:13">
      <c r="B23" s="848" t="s">
        <v>261</v>
      </c>
      <c r="C23" s="848"/>
      <c r="D23" s="848"/>
      <c r="E23" s="143"/>
      <c r="F23" s="143"/>
      <c r="G23" s="143"/>
      <c r="H23" s="160"/>
      <c r="K23" s="714"/>
      <c r="L23" s="714"/>
      <c r="M23" s="714"/>
    </row>
    <row r="24" spans="1:13">
      <c r="A24" t="s">
        <v>217</v>
      </c>
      <c r="B24" s="164">
        <v>2412</v>
      </c>
      <c r="C24" s="164">
        <v>2566</v>
      </c>
      <c r="D24" s="164">
        <v>2785</v>
      </c>
      <c r="E24" s="164">
        <v>3043</v>
      </c>
      <c r="F24" s="164">
        <v>2913</v>
      </c>
      <c r="G24" s="164">
        <v>3533</v>
      </c>
      <c r="H24" s="164">
        <v>3762</v>
      </c>
      <c r="I24" s="164">
        <v>3711</v>
      </c>
      <c r="J24" s="6" t="s">
        <v>0</v>
      </c>
      <c r="K24" s="716">
        <v>2688</v>
      </c>
      <c r="L24" s="716">
        <v>2960</v>
      </c>
      <c r="M24" s="716">
        <v>3105</v>
      </c>
    </row>
    <row r="25" spans="1:13">
      <c r="A25" t="s">
        <v>216</v>
      </c>
      <c r="B25" s="164">
        <v>1163</v>
      </c>
      <c r="C25" s="164">
        <v>1167</v>
      </c>
      <c r="D25" s="164">
        <v>1189</v>
      </c>
      <c r="E25" s="164">
        <v>1275</v>
      </c>
      <c r="F25" s="164">
        <v>1269</v>
      </c>
      <c r="G25" s="164">
        <v>1357</v>
      </c>
      <c r="H25" s="164">
        <v>1612</v>
      </c>
      <c r="I25" s="164">
        <v>1616</v>
      </c>
      <c r="K25" s="716">
        <v>1236</v>
      </c>
      <c r="L25" s="716">
        <v>1216</v>
      </c>
      <c r="M25" s="716">
        <v>1248</v>
      </c>
    </row>
    <row r="26" spans="1:13">
      <c r="A26" t="s">
        <v>274</v>
      </c>
      <c r="B26" s="164">
        <v>498</v>
      </c>
      <c r="C26" s="164">
        <v>527</v>
      </c>
      <c r="D26" s="164">
        <v>527</v>
      </c>
      <c r="E26" s="164">
        <v>646</v>
      </c>
      <c r="F26" s="164">
        <v>596</v>
      </c>
      <c r="G26" s="164">
        <v>719</v>
      </c>
      <c r="H26" s="164">
        <v>815</v>
      </c>
      <c r="I26" s="164">
        <v>807</v>
      </c>
      <c r="K26" s="716">
        <v>512</v>
      </c>
      <c r="L26" s="716">
        <v>588</v>
      </c>
      <c r="M26" s="716">
        <v>627</v>
      </c>
    </row>
    <row r="27" spans="1:13">
      <c r="A27" t="s">
        <v>278</v>
      </c>
      <c r="B27" s="164">
        <v>346</v>
      </c>
      <c r="C27" s="164">
        <v>379</v>
      </c>
      <c r="D27" s="164">
        <v>502</v>
      </c>
      <c r="E27" s="164">
        <v>551</v>
      </c>
      <c r="F27" s="164">
        <v>507</v>
      </c>
      <c r="G27" s="164">
        <v>646</v>
      </c>
      <c r="H27" s="164">
        <v>818</v>
      </c>
      <c r="I27" s="164">
        <v>779</v>
      </c>
      <c r="K27" s="716">
        <v>482</v>
      </c>
      <c r="L27" s="716">
        <v>469</v>
      </c>
      <c r="M27" s="716">
        <v>543</v>
      </c>
    </row>
    <row r="28" spans="1:13">
      <c r="A28" t="s">
        <v>276</v>
      </c>
      <c r="B28" s="164">
        <v>345</v>
      </c>
      <c r="C28" s="164">
        <v>366</v>
      </c>
      <c r="D28" s="164">
        <v>385</v>
      </c>
      <c r="E28" s="164">
        <v>475</v>
      </c>
      <c r="F28" s="164">
        <v>445</v>
      </c>
      <c r="G28" s="164">
        <v>555</v>
      </c>
      <c r="H28" s="164">
        <v>606</v>
      </c>
      <c r="I28" s="164">
        <v>571</v>
      </c>
      <c r="K28" s="716">
        <v>384</v>
      </c>
      <c r="L28" s="716">
        <v>416</v>
      </c>
      <c r="M28" s="716">
        <v>456</v>
      </c>
    </row>
    <row r="29" spans="1:13">
      <c r="A29" t="s">
        <v>279</v>
      </c>
      <c r="B29" s="164">
        <v>232</v>
      </c>
      <c r="C29" s="164">
        <v>267</v>
      </c>
      <c r="D29" s="164">
        <v>298</v>
      </c>
      <c r="E29" s="164">
        <v>380</v>
      </c>
      <c r="F29" s="164">
        <v>407</v>
      </c>
      <c r="G29" s="164">
        <v>511</v>
      </c>
      <c r="H29" s="164">
        <v>518</v>
      </c>
      <c r="I29" s="164">
        <v>467</v>
      </c>
      <c r="K29" s="716">
        <v>312</v>
      </c>
      <c r="L29" s="716">
        <v>322</v>
      </c>
      <c r="M29" s="716">
        <v>347</v>
      </c>
    </row>
    <row r="30" spans="1:13">
      <c r="A30" t="s">
        <v>280</v>
      </c>
      <c r="B30" s="164">
        <v>145</v>
      </c>
      <c r="C30" s="164">
        <v>153</v>
      </c>
      <c r="D30" s="164">
        <v>190</v>
      </c>
      <c r="E30" s="164">
        <v>237</v>
      </c>
      <c r="F30" s="164">
        <v>265</v>
      </c>
      <c r="G30" s="164">
        <v>338</v>
      </c>
      <c r="H30" s="164">
        <v>387</v>
      </c>
      <c r="I30" s="164">
        <v>342</v>
      </c>
      <c r="K30" s="716">
        <v>330</v>
      </c>
      <c r="L30" s="716">
        <v>273</v>
      </c>
      <c r="M30" s="716">
        <v>244</v>
      </c>
    </row>
    <row r="31" spans="1:13">
      <c r="A31" t="s">
        <v>275</v>
      </c>
      <c r="B31" s="164">
        <v>150</v>
      </c>
      <c r="C31" s="164">
        <v>163</v>
      </c>
      <c r="D31" s="164">
        <v>192</v>
      </c>
      <c r="E31" s="164">
        <v>304</v>
      </c>
      <c r="F31" s="164">
        <v>311</v>
      </c>
      <c r="G31" s="164">
        <v>401</v>
      </c>
      <c r="H31" s="164">
        <v>374</v>
      </c>
      <c r="I31" s="164">
        <v>272</v>
      </c>
      <c r="K31" s="716">
        <v>219</v>
      </c>
      <c r="L31" s="716">
        <v>301</v>
      </c>
      <c r="M31" s="716">
        <v>278</v>
      </c>
    </row>
    <row r="32" spans="1:13">
      <c r="A32" t="s">
        <v>277</v>
      </c>
      <c r="B32" s="164">
        <v>271</v>
      </c>
      <c r="C32" s="164">
        <v>310</v>
      </c>
      <c r="D32" s="164">
        <v>293</v>
      </c>
      <c r="E32" s="164">
        <v>304</v>
      </c>
      <c r="F32" s="164">
        <v>283</v>
      </c>
      <c r="G32" s="164">
        <v>345</v>
      </c>
      <c r="H32" s="164">
        <v>348</v>
      </c>
      <c r="I32" s="164">
        <v>325</v>
      </c>
      <c r="K32" s="716">
        <v>323</v>
      </c>
      <c r="L32" s="716">
        <v>205</v>
      </c>
      <c r="M32" s="716">
        <v>292</v>
      </c>
    </row>
    <row r="33" spans="1:13">
      <c r="A33" t="s">
        <v>218</v>
      </c>
      <c r="B33" s="164">
        <v>293</v>
      </c>
      <c r="C33" s="164">
        <v>307</v>
      </c>
      <c r="D33" s="164">
        <v>334</v>
      </c>
      <c r="E33" s="164">
        <v>280</v>
      </c>
      <c r="F33" s="164">
        <v>242</v>
      </c>
      <c r="G33" s="164">
        <v>224</v>
      </c>
      <c r="H33" s="164">
        <v>180</v>
      </c>
      <c r="I33" s="164">
        <v>171</v>
      </c>
      <c r="K33" s="716">
        <v>169</v>
      </c>
      <c r="L33" s="716">
        <v>324</v>
      </c>
      <c r="M33" s="716">
        <v>280</v>
      </c>
    </row>
    <row r="34" spans="1:13">
      <c r="A34" t="s">
        <v>225</v>
      </c>
      <c r="B34" s="164">
        <v>102</v>
      </c>
      <c r="C34" s="164">
        <v>116</v>
      </c>
      <c r="D34" s="164">
        <v>137</v>
      </c>
      <c r="E34" s="164">
        <v>138</v>
      </c>
      <c r="F34" s="164">
        <v>126</v>
      </c>
      <c r="G34" s="164">
        <v>151</v>
      </c>
      <c r="H34" s="164">
        <v>173</v>
      </c>
      <c r="I34" s="164">
        <v>179</v>
      </c>
      <c r="K34" s="716">
        <v>115</v>
      </c>
      <c r="L34" s="716">
        <v>134</v>
      </c>
      <c r="M34" s="716">
        <v>152</v>
      </c>
    </row>
    <row r="35" spans="1:13">
      <c r="A35" t="s">
        <v>281</v>
      </c>
      <c r="B35" s="164">
        <v>245</v>
      </c>
      <c r="C35" s="164">
        <v>162</v>
      </c>
      <c r="D35" s="164">
        <v>134</v>
      </c>
      <c r="E35" s="164">
        <v>135</v>
      </c>
      <c r="F35" s="164">
        <v>161</v>
      </c>
      <c r="G35" s="164">
        <v>179</v>
      </c>
      <c r="H35" s="164">
        <v>70</v>
      </c>
      <c r="I35" s="164">
        <v>30</v>
      </c>
      <c r="K35" s="716">
        <v>120</v>
      </c>
      <c r="L35" s="716">
        <v>143</v>
      </c>
      <c r="M35" s="716">
        <v>116</v>
      </c>
    </row>
    <row r="36" spans="1:13">
      <c r="A36" t="s">
        <v>282</v>
      </c>
      <c r="B36" s="164">
        <v>2186</v>
      </c>
      <c r="C36" s="164">
        <v>2662</v>
      </c>
      <c r="D36" s="164">
        <v>1722</v>
      </c>
      <c r="E36" s="164">
        <v>2022</v>
      </c>
      <c r="F36" s="164">
        <v>1999</v>
      </c>
      <c r="G36" s="164">
        <v>2466</v>
      </c>
      <c r="H36" s="164">
        <v>2528</v>
      </c>
      <c r="I36" s="164">
        <v>2551</v>
      </c>
      <c r="K36" s="716">
        <v>1711</v>
      </c>
      <c r="L36" s="716">
        <v>2003</v>
      </c>
      <c r="M36" s="716">
        <v>1909</v>
      </c>
    </row>
    <row r="37" spans="1:13">
      <c r="A37" s="460" t="s">
        <v>47</v>
      </c>
      <c r="B37" s="464">
        <v>8389</v>
      </c>
      <c r="C37" s="464">
        <v>8867</v>
      </c>
      <c r="D37" s="464">
        <v>9537</v>
      </c>
      <c r="E37" s="464">
        <v>10691</v>
      </c>
      <c r="F37" s="464">
        <v>10417</v>
      </c>
      <c r="G37" s="464">
        <v>12601</v>
      </c>
      <c r="H37" s="464">
        <v>13644</v>
      </c>
      <c r="I37" s="464">
        <v>13218</v>
      </c>
      <c r="K37" s="716">
        <v>9456</v>
      </c>
      <c r="L37" s="716">
        <v>10216</v>
      </c>
      <c r="M37" s="751">
        <v>10497</v>
      </c>
    </row>
    <row r="39" spans="1:13" ht="16.5">
      <c r="A39" s="75" t="s">
        <v>656</v>
      </c>
      <c r="B39" s="32"/>
      <c r="G39" s="232" t="s">
        <v>0</v>
      </c>
      <c r="H39" s="232"/>
      <c r="I39" s="232"/>
      <c r="J39" s="232"/>
    </row>
    <row r="40" spans="1:13">
      <c r="A40" s="75" t="s">
        <v>255</v>
      </c>
      <c r="B40" s="75"/>
    </row>
    <row r="42" spans="1:13">
      <c r="A42" s="398" t="s">
        <v>0</v>
      </c>
      <c r="B42" s="398"/>
    </row>
  </sheetData>
  <customSheetViews>
    <customSheetView guid="{00BB8FC3-0B7F-4485-B1CD-FF164EC3970C}" fitToPage="1">
      <selection activeCell="I35" sqref="I35"/>
      <pageMargins left="0.7" right="0.7" top="0.78740157499999996" bottom="0.78740157499999996" header="0.3" footer="0.3"/>
      <pageSetup paperSize="9" scale="65" orientation="portrait" r:id="rId1"/>
    </customSheetView>
    <customSheetView guid="{5DDDE19F-F10F-4514-A83C-F71CDD7BE512}" fitToPage="1">
      <selection activeCell="I35" sqref="I35"/>
      <pageMargins left="0.7" right="0.7" top="0.78740157499999996" bottom="0.78740157499999996" header="0.3" footer="0.3"/>
      <pageSetup paperSize="9" scale="65" orientation="portrait" r:id="rId2"/>
    </customSheetView>
    <customSheetView guid="{9A6D0F5E-68D7-4772-8712-9975EE0A4B2C}" fitToPage="1">
      <selection activeCell="I35" sqref="I35"/>
      <pageMargins left="0.7" right="0.7" top="0.78740157499999996" bottom="0.78740157499999996" header="0.3" footer="0.3"/>
      <pageSetup paperSize="9" scale="65" orientation="portrait" r:id="rId3"/>
    </customSheetView>
  </customSheetViews>
  <mergeCells count="3">
    <mergeCell ref="B6:D6"/>
    <mergeCell ref="B23:D23"/>
    <mergeCell ref="A1:B1"/>
  </mergeCells>
  <pageMargins left="0.7" right="0.7" top="0.78740157499999996" bottom="0.78740157499999996" header="0.3" footer="0.3"/>
  <pageSetup paperSize="9" scale="45" orientation="portrait" r:id="rId4"/>
  <drawing r:id="rId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K44"/>
  <sheetViews>
    <sheetView workbookViewId="0">
      <selection activeCell="K15" sqref="K15"/>
    </sheetView>
  </sheetViews>
  <sheetFormatPr baseColWidth="10" defaultRowHeight="15"/>
  <cols>
    <col min="1" max="1" width="36.42578125" customWidth="1"/>
    <col min="2" max="2" width="10.85546875"/>
    <col min="3" max="3" width="14.7109375" customWidth="1"/>
    <col min="4" max="5" width="10.85546875"/>
    <col min="6" max="6" width="14.85546875" customWidth="1"/>
  </cols>
  <sheetData>
    <row r="1" spans="1:11" ht="39.75" customHeight="1">
      <c r="A1" s="796" t="s">
        <v>244</v>
      </c>
      <c r="B1" s="796"/>
      <c r="C1" s="308"/>
      <c r="D1" s="675"/>
      <c r="E1" s="308"/>
      <c r="F1" s="308"/>
    </row>
    <row r="2" spans="1:11">
      <c r="D2" s="38"/>
    </row>
    <row r="3" spans="1:11" ht="15.75">
      <c r="A3" s="5" t="s">
        <v>245</v>
      </c>
      <c r="B3" s="5"/>
      <c r="C3" s="5"/>
      <c r="D3" s="56"/>
      <c r="E3" s="26"/>
      <c r="F3" s="26"/>
      <c r="H3" s="143"/>
    </row>
    <row r="4" spans="1:11" ht="30">
      <c r="A4" s="367"/>
      <c r="B4" s="561">
        <v>2012</v>
      </c>
      <c r="C4" s="562" t="s">
        <v>558</v>
      </c>
      <c r="D4" s="561">
        <v>2021</v>
      </c>
      <c r="E4" s="541">
        <v>2022</v>
      </c>
      <c r="F4" s="562" t="s">
        <v>557</v>
      </c>
    </row>
    <row r="5" spans="1:11">
      <c r="A5" s="10" t="s">
        <v>504</v>
      </c>
      <c r="B5" s="164">
        <v>2030</v>
      </c>
      <c r="C5" s="557">
        <f>B5/$B$12*100</f>
        <v>21.750776813457623</v>
      </c>
      <c r="D5" s="245">
        <v>2098</v>
      </c>
      <c r="E5" s="245">
        <v>2102</v>
      </c>
      <c r="F5" s="201">
        <f>$E5/$E$12*100</f>
        <v>22.203443540720396</v>
      </c>
      <c r="G5" s="130"/>
      <c r="H5" s="130"/>
    </row>
    <row r="6" spans="1:11">
      <c r="A6" s="10" t="s">
        <v>489</v>
      </c>
      <c r="B6" s="164">
        <v>1006</v>
      </c>
      <c r="C6" s="557">
        <f t="shared" ref="C6:C12" si="0">B6/$B$12*100</f>
        <v>10.778956391299689</v>
      </c>
      <c r="D6" s="245">
        <v>740</v>
      </c>
      <c r="E6" s="245">
        <v>632</v>
      </c>
      <c r="F6" s="201">
        <f t="shared" ref="F6:F12" si="1">$E6/$E$12*100</f>
        <v>6.6758212738988059</v>
      </c>
    </row>
    <row r="7" spans="1:11">
      <c r="A7" s="10" t="s">
        <v>246</v>
      </c>
      <c r="B7" s="164">
        <v>1980</v>
      </c>
      <c r="C7" s="557">
        <f t="shared" si="0"/>
        <v>21.215043394406944</v>
      </c>
      <c r="D7" s="245">
        <v>2328</v>
      </c>
      <c r="E7" s="245">
        <v>2008</v>
      </c>
      <c r="F7" s="201">
        <f t="shared" si="1"/>
        <v>21.210520756311396</v>
      </c>
      <c r="H7" s="232" t="s">
        <v>0</v>
      </c>
      <c r="I7" s="232"/>
      <c r="J7" s="232"/>
      <c r="K7" s="232"/>
    </row>
    <row r="8" spans="1:11">
      <c r="A8" s="10" t="s">
        <v>490</v>
      </c>
      <c r="B8" s="164">
        <v>211</v>
      </c>
      <c r="C8" s="557">
        <f t="shared" si="0"/>
        <v>2.2607950283938711</v>
      </c>
      <c r="D8" s="245">
        <v>425</v>
      </c>
      <c r="E8" s="245">
        <v>393</v>
      </c>
      <c r="F8" s="201">
        <f t="shared" si="1"/>
        <v>4.1512622794972014</v>
      </c>
    </row>
    <row r="9" spans="1:11">
      <c r="A9" s="10" t="s">
        <v>491</v>
      </c>
      <c r="B9" s="164">
        <v>1002</v>
      </c>
      <c r="C9" s="557">
        <f t="shared" si="0"/>
        <v>10.736097717775635</v>
      </c>
      <c r="D9" s="245">
        <v>1067</v>
      </c>
      <c r="E9" s="245">
        <v>1073</v>
      </c>
      <c r="F9" s="201">
        <f t="shared" si="1"/>
        <v>11.334107953945285</v>
      </c>
    </row>
    <row r="10" spans="1:11">
      <c r="A10" s="10" t="s">
        <v>492</v>
      </c>
      <c r="B10" s="164">
        <v>159</v>
      </c>
      <c r="C10" s="557">
        <f t="shared" si="0"/>
        <v>1.7036322725811637</v>
      </c>
      <c r="D10" s="245">
        <v>189</v>
      </c>
      <c r="E10" s="245">
        <v>191</v>
      </c>
      <c r="F10" s="201">
        <f t="shared" si="1"/>
        <v>2.017534593852329</v>
      </c>
    </row>
    <row r="11" spans="1:11">
      <c r="A11" s="367" t="s">
        <v>493</v>
      </c>
      <c r="B11" s="462">
        <v>2659</v>
      </c>
      <c r="C11" s="557">
        <f t="shared" si="0"/>
        <v>28.490303225115181</v>
      </c>
      <c r="D11" s="247">
        <v>2808</v>
      </c>
      <c r="E11" s="247">
        <v>2769</v>
      </c>
      <c r="F11" s="201">
        <f t="shared" si="1"/>
        <v>29.248970106686382</v>
      </c>
    </row>
    <row r="12" spans="1:11">
      <c r="A12" s="5" t="s">
        <v>494</v>
      </c>
      <c r="B12" s="237">
        <v>9333</v>
      </c>
      <c r="C12" s="563">
        <f t="shared" si="0"/>
        <v>100</v>
      </c>
      <c r="D12" s="686">
        <v>10002</v>
      </c>
      <c r="E12" s="564">
        <v>9467</v>
      </c>
      <c r="F12" s="565">
        <f t="shared" si="1"/>
        <v>100</v>
      </c>
      <c r="I12" s="6" t="s">
        <v>0</v>
      </c>
    </row>
    <row r="13" spans="1:11" ht="15.75">
      <c r="A13" s="21"/>
      <c r="B13" s="21"/>
      <c r="C13" s="21"/>
      <c r="D13" s="41"/>
      <c r="E13" s="48"/>
      <c r="F13" s="21"/>
    </row>
    <row r="14" spans="1:11" ht="15.75">
      <c r="A14" s="21"/>
      <c r="B14" s="21"/>
      <c r="C14" s="21"/>
      <c r="D14" s="41"/>
      <c r="E14" s="48"/>
      <c r="F14" s="21"/>
    </row>
    <row r="15" spans="1:11" ht="15.75">
      <c r="A15" s="5" t="s">
        <v>706</v>
      </c>
      <c r="B15" s="10"/>
      <c r="C15" s="21"/>
      <c r="D15" s="41"/>
      <c r="E15" s="48"/>
      <c r="F15" s="21"/>
    </row>
    <row r="16" spans="1:11" ht="15.75">
      <c r="A16" s="5" t="s">
        <v>250</v>
      </c>
      <c r="B16" s="10"/>
      <c r="C16" s="21"/>
      <c r="D16" s="56" t="s">
        <v>251</v>
      </c>
      <c r="E16" s="48"/>
      <c r="F16" s="21"/>
    </row>
    <row r="17" spans="1:10" ht="33" customHeight="1">
      <c r="A17" s="10" t="s">
        <v>634</v>
      </c>
      <c r="B17" s="164">
        <v>3670</v>
      </c>
      <c r="C17" s="149"/>
      <c r="D17" s="849" t="s">
        <v>252</v>
      </c>
      <c r="E17" s="850"/>
      <c r="F17" s="164">
        <v>2771</v>
      </c>
    </row>
    <row r="18" spans="1:10" ht="31.5" customHeight="1">
      <c r="A18" s="10"/>
      <c r="B18" s="164"/>
      <c r="C18" s="149"/>
      <c r="D18" s="851" t="s">
        <v>253</v>
      </c>
      <c r="E18" s="851"/>
      <c r="F18" s="164">
        <v>1899</v>
      </c>
    </row>
    <row r="19" spans="1:10">
      <c r="A19" s="10" t="s">
        <v>247</v>
      </c>
      <c r="B19" s="164">
        <v>5754</v>
      </c>
      <c r="C19" s="149"/>
      <c r="D19" s="551" t="s">
        <v>248</v>
      </c>
      <c r="E19" s="558"/>
      <c r="F19" s="164">
        <v>4754</v>
      </c>
    </row>
    <row r="20" spans="1:10">
      <c r="A20" s="460" t="s">
        <v>628</v>
      </c>
      <c r="B20" s="464">
        <f>SUM(B17:B19)</f>
        <v>9424</v>
      </c>
      <c r="C20" s="464"/>
      <c r="D20" s="559"/>
      <c r="E20" s="464"/>
      <c r="F20" s="464">
        <f>SUM(F17:F19)</f>
        <v>9424</v>
      </c>
      <c r="G20" s="5"/>
    </row>
    <row r="21" spans="1:10" ht="15.75">
      <c r="A21" s="21"/>
      <c r="B21" s="54"/>
      <c r="C21" s="54"/>
      <c r="D21" s="55"/>
      <c r="E21" s="66"/>
      <c r="F21" s="54"/>
      <c r="G21" s="5"/>
    </row>
    <row r="22" spans="1:10" ht="15.75">
      <c r="A22" s="21"/>
      <c r="B22" s="27"/>
      <c r="C22" s="27"/>
      <c r="D22" s="47"/>
      <c r="E22" s="65"/>
      <c r="F22" s="21"/>
    </row>
    <row r="23" spans="1:10" ht="15.75">
      <c r="A23" s="21"/>
      <c r="B23" s="21"/>
      <c r="C23" s="21"/>
      <c r="D23" s="41"/>
      <c r="E23" s="492"/>
      <c r="F23" s="21"/>
    </row>
    <row r="24" spans="1:10" ht="17.25">
      <c r="A24" s="485" t="s">
        <v>707</v>
      </c>
      <c r="B24" s="300"/>
      <c r="C24" s="21"/>
      <c r="D24" s="41"/>
      <c r="E24" s="492"/>
      <c r="F24" s="21"/>
    </row>
    <row r="25" spans="1:10" ht="15.75">
      <c r="A25" s="143" t="s">
        <v>111</v>
      </c>
      <c r="B25" s="143"/>
      <c r="C25" s="10"/>
      <c r="D25" s="148"/>
      <c r="E25" s="560">
        <v>28.3</v>
      </c>
      <c r="F25" s="21"/>
      <c r="G25" s="232" t="s">
        <v>0</v>
      </c>
      <c r="H25" s="232"/>
      <c r="I25" s="232"/>
      <c r="J25" s="232"/>
    </row>
    <row r="26" spans="1:10" ht="17.25">
      <c r="A26" s="143" t="s">
        <v>635</v>
      </c>
      <c r="B26" s="143"/>
      <c r="C26" s="10"/>
      <c r="D26" s="148"/>
      <c r="E26" s="560">
        <v>21</v>
      </c>
      <c r="F26" s="21"/>
      <c r="G26" s="232" t="s">
        <v>0</v>
      </c>
      <c r="H26" s="232"/>
      <c r="I26" s="232"/>
      <c r="J26" s="130"/>
    </row>
    <row r="27" spans="1:10" ht="15.75">
      <c r="A27" s="143" t="s">
        <v>553</v>
      </c>
      <c r="B27" s="143"/>
      <c r="C27" s="10"/>
      <c r="D27" s="148"/>
      <c r="E27" s="560">
        <v>49</v>
      </c>
      <c r="F27" s="21"/>
    </row>
    <row r="28" spans="1:10" ht="15.75">
      <c r="A28" s="143" t="s">
        <v>249</v>
      </c>
      <c r="B28" s="143"/>
      <c r="C28" s="10"/>
      <c r="D28" s="148"/>
      <c r="E28" s="560">
        <v>1.2</v>
      </c>
      <c r="F28" s="21"/>
    </row>
    <row r="29" spans="1:10" ht="15.75">
      <c r="A29" s="143" t="s">
        <v>0</v>
      </c>
      <c r="B29" s="143"/>
      <c r="C29" s="10"/>
      <c r="D29" s="148"/>
      <c r="E29" s="560" t="s">
        <v>0</v>
      </c>
      <c r="F29" s="21"/>
    </row>
    <row r="30" spans="1:10">
      <c r="H30" s="130"/>
    </row>
    <row r="34" spans="1:6" ht="15.75">
      <c r="A34" s="172" t="s">
        <v>495</v>
      </c>
      <c r="B34" s="143"/>
      <c r="C34" s="154"/>
      <c r="D34" s="190"/>
      <c r="E34" s="492"/>
      <c r="F34" s="154"/>
    </row>
    <row r="35" spans="1:6" ht="15.75">
      <c r="A35" s="153"/>
      <c r="B35" s="143"/>
      <c r="C35" s="172">
        <v>2012</v>
      </c>
      <c r="D35" s="172">
        <v>2020</v>
      </c>
      <c r="E35" s="473">
        <v>2021</v>
      </c>
      <c r="F35" s="172">
        <v>2022</v>
      </c>
    </row>
    <row r="36" spans="1:6" ht="30">
      <c r="A36" s="212" t="s">
        <v>496</v>
      </c>
      <c r="B36" s="143"/>
      <c r="C36" s="164">
        <v>7154</v>
      </c>
      <c r="D36" s="164">
        <v>6759</v>
      </c>
      <c r="E36" s="322">
        <v>7012</v>
      </c>
      <c r="F36" s="164">
        <v>6850</v>
      </c>
    </row>
    <row r="37" spans="1:6" ht="15.75">
      <c r="A37" s="21"/>
      <c r="B37" s="21"/>
      <c r="C37" s="21"/>
      <c r="D37" s="41"/>
      <c r="E37" s="21"/>
      <c r="F37" s="21"/>
    </row>
    <row r="38" spans="1:6" ht="15.75">
      <c r="A38" s="21"/>
      <c r="B38" s="21"/>
      <c r="C38" s="21"/>
      <c r="D38" s="41"/>
      <c r="E38" s="21"/>
      <c r="F38" s="21"/>
    </row>
    <row r="39" spans="1:6" ht="15.75">
      <c r="A39" s="75" t="s">
        <v>656</v>
      </c>
      <c r="B39" s="21"/>
      <c r="C39" s="21"/>
      <c r="D39" s="41"/>
      <c r="E39" s="21"/>
      <c r="F39" s="21"/>
    </row>
    <row r="40" spans="1:6" ht="15.75">
      <c r="A40" s="75" t="s">
        <v>666</v>
      </c>
      <c r="B40" s="21"/>
      <c r="C40" s="21"/>
      <c r="D40" s="41"/>
      <c r="E40" s="21"/>
      <c r="F40" s="21"/>
    </row>
    <row r="41" spans="1:6" ht="15.75">
      <c r="A41" s="503" t="s">
        <v>554</v>
      </c>
      <c r="B41" s="21"/>
      <c r="C41" s="21"/>
      <c r="D41" s="41"/>
      <c r="E41" s="21"/>
      <c r="F41" s="21"/>
    </row>
    <row r="42" spans="1:6" ht="15.75">
      <c r="A42" s="503" t="s">
        <v>555</v>
      </c>
      <c r="B42" s="21"/>
      <c r="C42" s="21"/>
      <c r="D42" s="41"/>
      <c r="E42" s="21"/>
      <c r="F42" s="21"/>
    </row>
    <row r="43" spans="1:6" ht="15.75">
      <c r="C43" s="21"/>
      <c r="D43" s="41"/>
      <c r="E43" s="21"/>
      <c r="F43" s="21"/>
    </row>
    <row r="44" spans="1:6" ht="15.75">
      <c r="A44" s="75" t="s">
        <v>437</v>
      </c>
      <c r="B44" s="75"/>
      <c r="C44" s="21"/>
      <c r="D44" s="41"/>
      <c r="E44" s="21"/>
      <c r="F44" s="21"/>
    </row>
  </sheetData>
  <customSheetViews>
    <customSheetView guid="{00BB8FC3-0B7F-4485-B1CD-FF164EC3970C}" fitToPage="1">
      <selection activeCell="F20" sqref="F20"/>
      <pageMargins left="0.7" right="0.7" top="0.78740157499999996" bottom="0.78740157499999996" header="0.3" footer="0.3"/>
      <pageSetup paperSize="9" scale="88" orientation="portrait" r:id="rId1"/>
    </customSheetView>
    <customSheetView guid="{5DDDE19F-F10F-4514-A83C-F71CDD7BE512}" fitToPage="1">
      <selection activeCell="F20" sqref="F20"/>
      <pageMargins left="0.7" right="0.7" top="0.78740157499999996" bottom="0.78740157499999996" header="0.3" footer="0.3"/>
      <pageSetup paperSize="9" scale="88" orientation="portrait" r:id="rId2"/>
    </customSheetView>
    <customSheetView guid="{9A6D0F5E-68D7-4772-8712-9975EE0A4B2C}" fitToPage="1">
      <selection activeCell="F20" sqref="F20"/>
      <pageMargins left="0.7" right="0.7" top="0.78740157499999996" bottom="0.78740157499999996" header="0.3" footer="0.3"/>
      <pageSetup paperSize="9" scale="88" orientation="portrait" r:id="rId3"/>
    </customSheetView>
  </customSheetViews>
  <mergeCells count="3">
    <mergeCell ref="D17:E17"/>
    <mergeCell ref="D18:E18"/>
    <mergeCell ref="A1:B1"/>
  </mergeCells>
  <pageMargins left="0.7" right="0.7" top="0.78740157499999996" bottom="0.78740157499999996" header="0.3" footer="0.3"/>
  <pageSetup paperSize="9" scale="72" orientation="portrait" r:id="rId4"/>
  <drawing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E86"/>
  <sheetViews>
    <sheetView topLeftCell="A46" zoomScaleNormal="100" workbookViewId="0">
      <selection activeCell="G88" sqref="G88"/>
    </sheetView>
  </sheetViews>
  <sheetFormatPr baseColWidth="10" defaultRowHeight="15"/>
  <cols>
    <col min="1" max="1" width="14.28515625" customWidth="1"/>
    <col min="2" max="2" width="10.7109375" customWidth="1"/>
    <col min="3" max="3" width="12" customWidth="1"/>
    <col min="4" max="9" width="10.7109375" customWidth="1"/>
    <col min="10" max="16" width="10.85546875"/>
    <col min="17" max="17" width="31" customWidth="1"/>
    <col min="18" max="18" width="19.42578125" customWidth="1"/>
    <col min="19" max="19" width="10.85546875"/>
    <col min="20" max="20" width="16.42578125" customWidth="1"/>
  </cols>
  <sheetData>
    <row r="1" spans="1:31" ht="39.75" customHeight="1">
      <c r="A1" s="660" t="s">
        <v>244</v>
      </c>
      <c r="B1" s="660"/>
      <c r="C1" s="660"/>
      <c r="D1" s="660"/>
      <c r="E1" s="660"/>
      <c r="F1" s="660"/>
      <c r="G1" s="660"/>
      <c r="H1" s="660"/>
      <c r="I1" s="660"/>
      <c r="J1" s="660"/>
      <c r="K1" s="660"/>
      <c r="L1" s="660"/>
      <c r="M1" s="660"/>
      <c r="N1" s="660"/>
      <c r="O1" s="660"/>
      <c r="P1" s="660"/>
    </row>
    <row r="2" spans="1:31" ht="15" customHeight="1">
      <c r="A2" s="660"/>
      <c r="B2" s="660"/>
      <c r="C2" s="660"/>
      <c r="D2" s="660"/>
      <c r="E2" s="660"/>
      <c r="F2" s="660"/>
      <c r="G2" s="660"/>
      <c r="H2" s="660"/>
      <c r="I2" s="660"/>
      <c r="J2" s="660"/>
      <c r="K2" s="660"/>
      <c r="L2" s="660"/>
      <c r="M2" s="660"/>
      <c r="N2" s="660"/>
      <c r="O2" s="660"/>
      <c r="P2" s="660"/>
    </row>
    <row r="3" spans="1:31" ht="18.75">
      <c r="A3" s="783"/>
      <c r="B3" s="76" t="s">
        <v>708</v>
      </c>
      <c r="C3" s="160"/>
      <c r="D3" s="160"/>
      <c r="E3" s="160"/>
      <c r="F3" s="160"/>
      <c r="G3" s="160"/>
      <c r="H3" s="2"/>
      <c r="I3" s="160"/>
    </row>
    <row r="4" spans="1:31" ht="18.75">
      <c r="B4" s="76"/>
    </row>
    <row r="5" spans="1:31">
      <c r="A5" s="714"/>
      <c r="B5" s="160"/>
      <c r="C5" s="160" t="s">
        <v>436</v>
      </c>
      <c r="D5" s="160" t="s">
        <v>489</v>
      </c>
      <c r="E5" s="160" t="s">
        <v>246</v>
      </c>
      <c r="F5" s="160" t="s">
        <v>490</v>
      </c>
      <c r="G5" s="160" t="s">
        <v>491</v>
      </c>
      <c r="H5" s="2" t="s">
        <v>492</v>
      </c>
      <c r="I5" s="36" t="s">
        <v>493</v>
      </c>
      <c r="J5" s="36" t="s">
        <v>47</v>
      </c>
    </row>
    <row r="6" spans="1:31">
      <c r="A6" s="638"/>
    </row>
    <row r="7" spans="1:31">
      <c r="A7" s="714" t="s">
        <v>0</v>
      </c>
      <c r="B7" s="143">
        <v>2010</v>
      </c>
      <c r="C7" s="164">
        <v>2024</v>
      </c>
      <c r="D7" s="164">
        <v>1407</v>
      </c>
      <c r="E7" s="164">
        <v>2165</v>
      </c>
      <c r="F7" s="164">
        <v>142</v>
      </c>
      <c r="G7" s="164">
        <v>960</v>
      </c>
      <c r="H7" s="164">
        <v>118</v>
      </c>
      <c r="I7" s="164">
        <v>2687</v>
      </c>
      <c r="J7" s="164">
        <v>9807</v>
      </c>
      <c r="W7" s="207"/>
      <c r="X7" s="207"/>
      <c r="Y7" s="207"/>
      <c r="Z7" s="207"/>
      <c r="AA7" s="207"/>
      <c r="AB7" s="207"/>
      <c r="AC7" s="207"/>
      <c r="AD7" s="207"/>
      <c r="AE7" s="207"/>
    </row>
    <row r="8" spans="1:31" s="160" customFormat="1">
      <c r="A8" s="714"/>
      <c r="B8" s="143">
        <v>2012</v>
      </c>
      <c r="C8" s="164">
        <v>2030</v>
      </c>
      <c r="D8" s="164">
        <v>1006</v>
      </c>
      <c r="E8" s="164">
        <v>1980</v>
      </c>
      <c r="F8" s="164">
        <v>211</v>
      </c>
      <c r="G8" s="164">
        <v>1002</v>
      </c>
      <c r="H8" s="164">
        <v>159</v>
      </c>
      <c r="I8" s="164">
        <v>2659</v>
      </c>
      <c r="J8" s="164">
        <v>9333</v>
      </c>
      <c r="W8" s="207"/>
      <c r="X8" s="207"/>
      <c r="Y8" s="207"/>
      <c r="Z8" s="207"/>
      <c r="AA8" s="207"/>
      <c r="AB8" s="207"/>
      <c r="AC8" s="207"/>
      <c r="AD8" s="207"/>
      <c r="AE8" s="207"/>
    </row>
    <row r="9" spans="1:31">
      <c r="A9" s="714"/>
      <c r="B9" s="143">
        <v>2014</v>
      </c>
      <c r="C9" s="164">
        <v>2015</v>
      </c>
      <c r="D9" s="164">
        <v>801</v>
      </c>
      <c r="E9" s="164">
        <v>1850</v>
      </c>
      <c r="F9" s="164">
        <v>273</v>
      </c>
      <c r="G9" s="164">
        <v>916</v>
      </c>
      <c r="H9" s="164">
        <v>165</v>
      </c>
      <c r="I9" s="164">
        <v>2640</v>
      </c>
      <c r="J9" s="164">
        <v>8935</v>
      </c>
      <c r="L9" s="232" t="s">
        <v>0</v>
      </c>
      <c r="M9" s="232"/>
      <c r="N9" s="232"/>
      <c r="O9" s="130"/>
      <c r="P9" s="130"/>
      <c r="W9" s="207"/>
      <c r="X9" s="207"/>
      <c r="Y9" s="207"/>
      <c r="Z9" s="207"/>
      <c r="AA9" s="207"/>
      <c r="AB9" s="207"/>
      <c r="AC9" s="207"/>
      <c r="AD9" s="207"/>
      <c r="AE9" s="207"/>
    </row>
    <row r="10" spans="1:31" s="160" customFormat="1">
      <c r="A10" s="714"/>
      <c r="B10" s="143">
        <v>2016</v>
      </c>
      <c r="C10" s="164">
        <v>2063</v>
      </c>
      <c r="D10" s="164">
        <v>765</v>
      </c>
      <c r="E10" s="164">
        <v>2064</v>
      </c>
      <c r="F10" s="164">
        <v>302</v>
      </c>
      <c r="G10" s="164">
        <v>1090</v>
      </c>
      <c r="H10" s="164">
        <v>185</v>
      </c>
      <c r="I10" s="164">
        <v>2717</v>
      </c>
      <c r="J10" s="164">
        <v>9463</v>
      </c>
      <c r="L10" s="232"/>
      <c r="M10" s="232"/>
      <c r="N10" s="232"/>
      <c r="O10" s="232"/>
      <c r="P10" s="130"/>
      <c r="W10" s="207"/>
      <c r="X10" s="207"/>
      <c r="Y10" s="207"/>
      <c r="Z10" s="207"/>
      <c r="AA10" s="207"/>
      <c r="AB10" s="207"/>
      <c r="AC10" s="207"/>
      <c r="AD10" s="207"/>
      <c r="AE10" s="207"/>
    </row>
    <row r="11" spans="1:31">
      <c r="A11" s="714"/>
      <c r="B11" s="143">
        <v>2018</v>
      </c>
      <c r="C11" s="164">
        <v>2103</v>
      </c>
      <c r="D11" s="164">
        <v>686</v>
      </c>
      <c r="E11" s="164">
        <v>2078</v>
      </c>
      <c r="F11" s="164">
        <v>330</v>
      </c>
      <c r="G11" s="164">
        <v>978</v>
      </c>
      <c r="H11" s="164">
        <v>214</v>
      </c>
      <c r="I11" s="164">
        <v>2757</v>
      </c>
      <c r="J11" s="164">
        <v>9469</v>
      </c>
      <c r="W11" s="207"/>
      <c r="X11" s="207"/>
      <c r="Y11" s="207"/>
      <c r="Z11" s="207"/>
      <c r="AA11" s="207"/>
      <c r="AB11" s="207"/>
      <c r="AC11" s="207"/>
      <c r="AD11" s="207"/>
      <c r="AE11" s="207"/>
    </row>
    <row r="12" spans="1:31">
      <c r="A12" s="714"/>
      <c r="B12" s="143">
        <v>2019</v>
      </c>
      <c r="C12" s="164">
        <v>2128</v>
      </c>
      <c r="D12" s="164">
        <v>736</v>
      </c>
      <c r="E12" s="164">
        <v>2165</v>
      </c>
      <c r="F12" s="164">
        <v>368</v>
      </c>
      <c r="G12" s="164">
        <v>1040</v>
      </c>
      <c r="H12" s="164">
        <v>217</v>
      </c>
      <c r="I12" s="164">
        <v>2793</v>
      </c>
      <c r="J12" s="164">
        <v>9771</v>
      </c>
      <c r="W12" s="207"/>
      <c r="X12" s="207"/>
      <c r="Y12" s="207"/>
      <c r="Z12" s="207"/>
      <c r="AA12" s="207"/>
      <c r="AB12" s="207"/>
      <c r="AC12" s="207"/>
      <c r="AD12" s="207"/>
      <c r="AE12" s="207"/>
    </row>
    <row r="13" spans="1:31">
      <c r="A13" s="714"/>
      <c r="B13" s="300">
        <v>2020</v>
      </c>
      <c r="C13" s="245">
        <v>1747</v>
      </c>
      <c r="D13" s="245">
        <v>682</v>
      </c>
      <c r="E13" s="245">
        <v>2121</v>
      </c>
      <c r="F13" s="245">
        <v>397</v>
      </c>
      <c r="G13" s="245">
        <v>851</v>
      </c>
      <c r="H13" s="245">
        <v>221</v>
      </c>
      <c r="I13" s="245">
        <v>2693</v>
      </c>
      <c r="J13" s="245">
        <v>9031</v>
      </c>
      <c r="W13" s="207"/>
      <c r="X13" s="207"/>
      <c r="Y13" s="207"/>
      <c r="Z13" s="207"/>
      <c r="AA13" s="207"/>
      <c r="AB13" s="207"/>
      <c r="AC13" s="207"/>
      <c r="AD13" s="207"/>
      <c r="AE13" s="207"/>
    </row>
    <row r="14" spans="1:31">
      <c r="A14" s="714"/>
      <c r="B14" s="300">
        <v>2021</v>
      </c>
      <c r="C14" s="245">
        <v>2098</v>
      </c>
      <c r="D14" s="245">
        <v>740</v>
      </c>
      <c r="E14" s="245">
        <v>2328</v>
      </c>
      <c r="F14" s="245">
        <v>425</v>
      </c>
      <c r="G14" s="245">
        <v>1073</v>
      </c>
      <c r="H14" s="245">
        <v>189</v>
      </c>
      <c r="I14" s="245">
        <v>2808</v>
      </c>
      <c r="J14" s="245">
        <v>10002</v>
      </c>
    </row>
    <row r="15" spans="1:31">
      <c r="A15" s="714"/>
      <c r="B15" s="499">
        <v>2022</v>
      </c>
      <c r="C15" s="510">
        <v>2102</v>
      </c>
      <c r="D15" s="510">
        <v>632</v>
      </c>
      <c r="E15" s="510">
        <v>2008</v>
      </c>
      <c r="F15" s="510">
        <v>393</v>
      </c>
      <c r="G15" s="510">
        <v>1073</v>
      </c>
      <c r="H15" s="510">
        <v>191</v>
      </c>
      <c r="I15" s="510">
        <v>2769</v>
      </c>
      <c r="J15" s="510">
        <v>9467</v>
      </c>
      <c r="L15" s="638">
        <v>2005</v>
      </c>
      <c r="M15" s="749">
        <v>2198</v>
      </c>
      <c r="N15" s="749">
        <v>1628</v>
      </c>
      <c r="O15" s="749">
        <v>2171</v>
      </c>
      <c r="P15" s="749">
        <v>56</v>
      </c>
      <c r="Q15" s="749">
        <v>951</v>
      </c>
      <c r="R15" s="749">
        <v>63</v>
      </c>
      <c r="S15" s="749">
        <v>2407</v>
      </c>
      <c r="T15" s="749">
        <f>SUM(M15:S15)</f>
        <v>9474</v>
      </c>
    </row>
    <row r="16" spans="1:31">
      <c r="A16" s="714"/>
      <c r="L16" s="714">
        <v>2006</v>
      </c>
      <c r="M16" s="716">
        <v>2283</v>
      </c>
      <c r="N16" s="716">
        <v>1442</v>
      </c>
      <c r="O16" s="716">
        <v>2144</v>
      </c>
      <c r="P16" s="716">
        <v>56</v>
      </c>
      <c r="Q16" s="716">
        <v>776</v>
      </c>
      <c r="R16" s="716">
        <v>85</v>
      </c>
      <c r="S16" s="716">
        <v>2466</v>
      </c>
      <c r="T16" s="716">
        <v>9462</v>
      </c>
    </row>
    <row r="17" spans="1:20">
      <c r="A17" s="714"/>
      <c r="L17" s="714">
        <v>2007</v>
      </c>
      <c r="M17" s="716">
        <v>2238</v>
      </c>
      <c r="N17" s="716">
        <v>1387</v>
      </c>
      <c r="O17" s="716">
        <v>1915</v>
      </c>
      <c r="P17" s="716">
        <v>55</v>
      </c>
      <c r="Q17" s="716">
        <v>797</v>
      </c>
      <c r="R17" s="716">
        <v>101</v>
      </c>
      <c r="S17" s="716">
        <v>2456</v>
      </c>
      <c r="T17" s="716">
        <v>9188</v>
      </c>
    </row>
    <row r="18" spans="1:20">
      <c r="A18" s="714"/>
      <c r="L18" s="714">
        <v>2008</v>
      </c>
      <c r="M18" s="716">
        <v>2036</v>
      </c>
      <c r="N18" s="716">
        <v>1370</v>
      </c>
      <c r="O18" s="716">
        <v>2037</v>
      </c>
      <c r="P18" s="716">
        <v>87</v>
      </c>
      <c r="Q18" s="716">
        <v>988</v>
      </c>
      <c r="R18" s="716">
        <v>120</v>
      </c>
      <c r="S18" s="716">
        <v>2625</v>
      </c>
      <c r="T18" s="716">
        <v>9507</v>
      </c>
    </row>
    <row r="19" spans="1:20">
      <c r="A19" s="714"/>
      <c r="L19" s="714">
        <v>2009</v>
      </c>
      <c r="M19" s="716">
        <v>1970</v>
      </c>
      <c r="N19" s="716">
        <v>1385</v>
      </c>
      <c r="O19" s="716">
        <v>1981</v>
      </c>
      <c r="P19" s="716">
        <v>121</v>
      </c>
      <c r="Q19" s="716">
        <v>864</v>
      </c>
      <c r="R19" s="716">
        <v>94</v>
      </c>
      <c r="S19" s="716">
        <v>2601</v>
      </c>
      <c r="T19" s="716">
        <v>9274</v>
      </c>
    </row>
    <row r="20" spans="1:20" ht="18.75">
      <c r="B20" s="789" t="s">
        <v>749</v>
      </c>
      <c r="C20" s="789"/>
      <c r="D20" s="789"/>
      <c r="E20" s="789"/>
      <c r="F20" s="789"/>
      <c r="G20" s="789"/>
    </row>
    <row r="28" spans="1:20" ht="16.5">
      <c r="B28" s="32"/>
    </row>
    <row r="29" spans="1:20" ht="16.5">
      <c r="A29" s="32" t="s">
        <v>0</v>
      </c>
      <c r="B29" s="32"/>
    </row>
    <row r="31" spans="1:20" ht="16.5">
      <c r="C31" s="204"/>
      <c r="D31" s="204"/>
      <c r="E31" s="204"/>
      <c r="F31" s="2"/>
    </row>
    <row r="39" spans="1:15">
      <c r="L39" s="130" t="s">
        <v>0</v>
      </c>
      <c r="M39" s="130"/>
      <c r="N39" s="130"/>
      <c r="O39" s="130"/>
    </row>
    <row r="44" spans="1:15">
      <c r="A44" s="75" t="s">
        <v>667</v>
      </c>
    </row>
    <row r="46" spans="1:15">
      <c r="A46" s="75" t="s">
        <v>406</v>
      </c>
      <c r="B46" s="305"/>
    </row>
    <row r="50" spans="1:11" ht="15.75">
      <c r="A50" s="756" t="s">
        <v>500</v>
      </c>
      <c r="B50" s="228"/>
      <c r="C50" s="228"/>
      <c r="D50" s="228"/>
      <c r="E50" s="228"/>
    </row>
    <row r="52" spans="1:11">
      <c r="A52" s="202" t="s">
        <v>0</v>
      </c>
      <c r="B52" s="493"/>
      <c r="C52" s="493">
        <v>2010</v>
      </c>
      <c r="D52" s="493">
        <v>2012</v>
      </c>
      <c r="E52" s="493">
        <v>2014</v>
      </c>
      <c r="F52" s="494">
        <v>2016</v>
      </c>
      <c r="G52" s="495">
        <v>2018</v>
      </c>
      <c r="H52" s="494">
        <v>2020</v>
      </c>
      <c r="I52" s="494">
        <v>2021</v>
      </c>
      <c r="J52" s="495">
        <v>2022</v>
      </c>
      <c r="K52" s="507">
        <v>2023</v>
      </c>
    </row>
    <row r="53" spans="1:11">
      <c r="A53" s="493" t="s">
        <v>111</v>
      </c>
      <c r="B53" s="179"/>
      <c r="C53" s="179">
        <v>1031</v>
      </c>
      <c r="D53" s="179">
        <v>1031</v>
      </c>
      <c r="E53" s="179">
        <v>1078</v>
      </c>
      <c r="F53" s="496">
        <v>1101</v>
      </c>
      <c r="G53" s="179">
        <v>1133</v>
      </c>
      <c r="H53" s="496">
        <v>1079</v>
      </c>
      <c r="I53" s="496">
        <v>1144</v>
      </c>
      <c r="J53" s="487">
        <v>1137</v>
      </c>
      <c r="K53" s="566">
        <v>1058</v>
      </c>
    </row>
    <row r="54" spans="1:11">
      <c r="A54" s="493" t="s">
        <v>134</v>
      </c>
      <c r="B54" s="179"/>
      <c r="C54" s="179">
        <v>641</v>
      </c>
      <c r="D54" s="179">
        <v>633</v>
      </c>
      <c r="E54" s="179">
        <v>604</v>
      </c>
      <c r="F54" s="496">
        <v>639</v>
      </c>
      <c r="G54" s="179">
        <v>652</v>
      </c>
      <c r="H54" s="496">
        <v>613</v>
      </c>
      <c r="I54" s="496">
        <v>621</v>
      </c>
      <c r="J54" s="487">
        <v>637</v>
      </c>
      <c r="K54" s="566">
        <v>630</v>
      </c>
    </row>
    <row r="55" spans="1:11">
      <c r="A55" s="493" t="s">
        <v>498</v>
      </c>
      <c r="B55" s="179"/>
      <c r="C55" s="179">
        <v>782</v>
      </c>
      <c r="D55" s="179">
        <v>778</v>
      </c>
      <c r="E55" s="179">
        <v>755</v>
      </c>
      <c r="F55" s="496">
        <v>775</v>
      </c>
      <c r="G55" s="179">
        <v>770</v>
      </c>
      <c r="H55" s="496">
        <v>793</v>
      </c>
      <c r="I55" s="496">
        <v>831</v>
      </c>
      <c r="J55" s="487">
        <v>788</v>
      </c>
      <c r="K55" s="566">
        <v>775</v>
      </c>
    </row>
    <row r="56" spans="1:11">
      <c r="A56" s="493" t="s">
        <v>249</v>
      </c>
      <c r="B56" s="179"/>
      <c r="C56" s="179">
        <v>53</v>
      </c>
      <c r="D56" s="179">
        <v>50</v>
      </c>
      <c r="E56" s="179">
        <v>46</v>
      </c>
      <c r="F56" s="496">
        <v>48</v>
      </c>
      <c r="G56" s="179">
        <v>50</v>
      </c>
      <c r="H56" s="496">
        <v>50</v>
      </c>
      <c r="I56" s="496">
        <v>52</v>
      </c>
      <c r="J56" s="487">
        <v>49</v>
      </c>
      <c r="K56" s="566">
        <v>46</v>
      </c>
    </row>
    <row r="57" spans="1:11">
      <c r="A57" s="493" t="s">
        <v>501</v>
      </c>
      <c r="B57" s="179"/>
      <c r="C57" s="179">
        <v>222</v>
      </c>
      <c r="D57" s="179">
        <v>222</v>
      </c>
      <c r="E57" s="179">
        <v>229</v>
      </c>
      <c r="F57" s="496">
        <v>245</v>
      </c>
      <c r="G57" s="179">
        <v>231</v>
      </c>
      <c r="H57" s="496">
        <v>232</v>
      </c>
      <c r="I57" s="496">
        <v>242</v>
      </c>
      <c r="J57" s="487">
        <v>232</v>
      </c>
      <c r="K57" s="566">
        <v>222</v>
      </c>
    </row>
    <row r="58" spans="1:11">
      <c r="A58" s="495" t="s">
        <v>0</v>
      </c>
      <c r="B58" s="179"/>
      <c r="C58" s="179"/>
      <c r="D58" s="179"/>
      <c r="E58" s="179"/>
      <c r="F58" s="179"/>
      <c r="G58" s="179"/>
      <c r="H58" s="179"/>
      <c r="I58" s="487"/>
      <c r="J58" s="487"/>
      <c r="K58" s="566"/>
    </row>
    <row r="59" spans="1:11">
      <c r="A59" s="495" t="s">
        <v>0</v>
      </c>
      <c r="B59" s="179"/>
      <c r="C59" s="179"/>
      <c r="D59" s="179"/>
      <c r="E59" s="179"/>
      <c r="F59" s="179"/>
      <c r="G59" s="179"/>
      <c r="H59" s="179"/>
      <c r="I59" s="487"/>
      <c r="J59" s="487"/>
      <c r="K59" s="566"/>
    </row>
    <row r="60" spans="1:11">
      <c r="A60" s="495" t="s">
        <v>0</v>
      </c>
      <c r="B60" s="179"/>
      <c r="C60" s="179"/>
      <c r="D60" s="179"/>
      <c r="E60" s="179"/>
      <c r="F60" s="179"/>
      <c r="G60" s="179"/>
      <c r="H60" s="179"/>
      <c r="I60" s="487"/>
      <c r="J60" s="487"/>
      <c r="K60" s="566"/>
    </row>
    <row r="61" spans="1:11">
      <c r="A61" s="143" t="s">
        <v>47</v>
      </c>
      <c r="B61" s="164">
        <f t="shared" ref="B61:I61" si="0">SUM(B53:B57)</f>
        <v>0</v>
      </c>
      <c r="C61" s="164">
        <f>SUM(C53:C58)</f>
        <v>2729</v>
      </c>
      <c r="D61" s="164">
        <f t="shared" si="0"/>
        <v>2714</v>
      </c>
      <c r="E61" s="164">
        <f t="shared" ref="E61:H61" si="1">SUM(E53:E57)</f>
        <v>2712</v>
      </c>
      <c r="F61" s="242">
        <f t="shared" si="1"/>
        <v>2808</v>
      </c>
      <c r="G61" s="238">
        <f t="shared" si="1"/>
        <v>2836</v>
      </c>
      <c r="H61" s="164">
        <f t="shared" si="1"/>
        <v>2767</v>
      </c>
      <c r="I61" s="245">
        <f t="shared" si="0"/>
        <v>2890</v>
      </c>
      <c r="J61" s="245">
        <f>SUM(J53:J58)</f>
        <v>2843</v>
      </c>
      <c r="K61" s="567">
        <f>SUM(K53:K58)</f>
        <v>2731</v>
      </c>
    </row>
    <row r="68" spans="3:5" ht="16.5">
      <c r="C68" s="32"/>
      <c r="D68" s="32"/>
      <c r="E68" s="32"/>
    </row>
    <row r="86" spans="1:2">
      <c r="A86" s="75" t="s">
        <v>406</v>
      </c>
      <c r="B86" s="75"/>
    </row>
  </sheetData>
  <customSheetViews>
    <customSheetView guid="{00BB8FC3-0B7F-4485-B1CD-FF164EC3970C}" scale="76" fitToPage="1">
      <selection activeCell="N34" sqref="N34"/>
      <rowBreaks count="1" manualBreakCount="1">
        <brk id="31" max="16383" man="1"/>
      </rowBreaks>
      <pageMargins left="0.7" right="0.7" top="0.78740157499999996" bottom="0.78740157499999996" header="0.3" footer="0.3"/>
      <pageSetup paperSize="9" scale="44" orientation="landscape" r:id="rId1"/>
    </customSheetView>
    <customSheetView guid="{5DDDE19F-F10F-4514-A83C-F71CDD7BE512}" scale="76" fitToPage="1">
      <selection activeCell="N34" sqref="N34"/>
      <rowBreaks count="1" manualBreakCount="1">
        <brk id="31" max="16383" man="1"/>
      </rowBreaks>
      <pageMargins left="0.7" right="0.7" top="0.78740157499999996" bottom="0.78740157499999996" header="0.3" footer="0.3"/>
      <pageSetup paperSize="9" scale="44" orientation="landscape" r:id="rId2"/>
    </customSheetView>
    <customSheetView guid="{9A6D0F5E-68D7-4772-8712-9975EE0A4B2C}" scale="76" fitToPage="1">
      <selection activeCell="N34" sqref="N34"/>
      <rowBreaks count="1" manualBreakCount="1">
        <brk id="31" max="16383" man="1"/>
      </rowBreaks>
      <pageMargins left="0.7" right="0.7" top="0.78740157499999996" bottom="0.78740157499999996" header="0.3" footer="0.3"/>
      <pageSetup paperSize="9" scale="44" orientation="landscape" r:id="rId3"/>
    </customSheetView>
  </customSheetViews>
  <pageMargins left="0.7" right="0.7" top="0.78740157499999996" bottom="0.78740157499999996" header="0.3" footer="0.3"/>
  <pageSetup paperSize="9" scale="45" orientation="landscape" r:id="rId4"/>
  <rowBreaks count="1" manualBreakCount="1">
    <brk id="32" max="16383" man="1"/>
  </rowBreaks>
  <drawing r:id="rId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C10"/>
  <sheetViews>
    <sheetView workbookViewId="0">
      <selection activeCell="E13" sqref="E13"/>
    </sheetView>
  </sheetViews>
  <sheetFormatPr baseColWidth="10" defaultRowHeight="15"/>
  <cols>
    <col min="1" max="1" width="49.85546875" bestFit="1" customWidth="1"/>
    <col min="2" max="2" width="7.5703125" style="72" bestFit="1" customWidth="1"/>
    <col min="3" max="3" width="36.28515625" bestFit="1" customWidth="1"/>
    <col min="4" max="4" width="11.42578125" customWidth="1"/>
  </cols>
  <sheetData>
    <row r="1" spans="1:3" ht="39.75" customHeight="1">
      <c r="A1" s="660" t="s">
        <v>425</v>
      </c>
      <c r="B1" s="660"/>
      <c r="C1" s="73"/>
    </row>
    <row r="4" spans="1:3">
      <c r="A4" t="s">
        <v>426</v>
      </c>
    </row>
    <row r="6" spans="1:3">
      <c r="A6" t="s">
        <v>427</v>
      </c>
      <c r="B6" s="158">
        <v>6664</v>
      </c>
      <c r="C6" t="s">
        <v>709</v>
      </c>
    </row>
    <row r="7" spans="1:3">
      <c r="A7" t="s">
        <v>428</v>
      </c>
      <c r="B7" s="158">
        <v>172678</v>
      </c>
      <c r="C7" t="s">
        <v>710</v>
      </c>
    </row>
    <row r="8" spans="1:3">
      <c r="A8" t="s">
        <v>429</v>
      </c>
      <c r="B8" s="158">
        <v>21143</v>
      </c>
      <c r="C8" t="s">
        <v>470</v>
      </c>
    </row>
    <row r="9" spans="1:3">
      <c r="A9" t="s">
        <v>430</v>
      </c>
      <c r="B9" s="158">
        <v>1517</v>
      </c>
      <c r="C9" t="s">
        <v>431</v>
      </c>
    </row>
    <row r="10" spans="1:3">
      <c r="A10" t="s">
        <v>432</v>
      </c>
      <c r="B10" s="529">
        <v>13218</v>
      </c>
      <c r="C10" t="s">
        <v>470</v>
      </c>
    </row>
  </sheetData>
  <customSheetViews>
    <customSheetView guid="{00BB8FC3-0B7F-4485-B1CD-FF164EC3970C}" fitToPage="1">
      <selection activeCell="B9" sqref="B9"/>
      <pageMargins left="0.7" right="0.7" top="0.78740157499999996" bottom="0.78740157499999996" header="0.3" footer="0.3"/>
      <pageSetup paperSize="9" scale="93" fitToHeight="0" orientation="portrait" r:id="rId1"/>
    </customSheetView>
    <customSheetView guid="{5DDDE19F-F10F-4514-A83C-F71CDD7BE512}" fitToPage="1">
      <selection activeCell="B15" sqref="B15"/>
      <pageMargins left="0.7" right="0.7" top="0.78740157499999996" bottom="0.78740157499999996" header="0.3" footer="0.3"/>
      <pageSetup paperSize="9" scale="93" fitToHeight="0" orientation="portrait" r:id="rId2"/>
    </customSheetView>
    <customSheetView guid="{9A6D0F5E-68D7-4772-8712-9975EE0A4B2C}" fitToPage="1">
      <selection activeCell="B9" sqref="B9"/>
      <pageMargins left="0.7" right="0.7" top="0.78740157499999996" bottom="0.78740157499999996" header="0.3" footer="0.3"/>
      <pageSetup paperSize="9" scale="93" fitToHeight="0" orientation="portrait" r:id="rId3"/>
    </customSheetView>
  </customSheetViews>
  <pageMargins left="0.7" right="0.7" top="0.78740157499999996" bottom="0.78740157499999996" header="0.3" footer="0.3"/>
  <pageSetup paperSize="9" scale="75" fitToHeight="0" orientation="portrait" r:id="rId4"/>
  <drawing r:id="rId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C35"/>
  <sheetViews>
    <sheetView topLeftCell="A10" workbookViewId="0">
      <selection activeCell="G42" sqref="G42"/>
    </sheetView>
  </sheetViews>
  <sheetFormatPr baseColWidth="10" defaultRowHeight="15"/>
  <cols>
    <col min="1" max="1" width="13.85546875" customWidth="1"/>
  </cols>
  <sheetData>
    <row r="1" spans="1:3">
      <c r="A1" t="s">
        <v>356</v>
      </c>
    </row>
    <row r="3" spans="1:3">
      <c r="A3" t="s">
        <v>355</v>
      </c>
      <c r="B3" t="s">
        <v>354</v>
      </c>
      <c r="C3" t="s">
        <v>353</v>
      </c>
    </row>
    <row r="4" spans="1:3">
      <c r="A4" t="s">
        <v>0</v>
      </c>
      <c r="C4" s="3" t="s">
        <v>0</v>
      </c>
    </row>
    <row r="5" spans="1:3">
      <c r="A5" t="s">
        <v>199</v>
      </c>
      <c r="B5">
        <v>0.6</v>
      </c>
      <c r="C5" s="52">
        <v>0.4</v>
      </c>
    </row>
    <row r="6" spans="1:3">
      <c r="A6" t="s">
        <v>352</v>
      </c>
      <c r="B6">
        <v>1.3</v>
      </c>
      <c r="C6" s="52">
        <v>0.2</v>
      </c>
    </row>
    <row r="7" spans="1:3">
      <c r="A7" t="s">
        <v>191</v>
      </c>
      <c r="B7">
        <v>1.6</v>
      </c>
      <c r="C7" s="52">
        <v>1.7</v>
      </c>
    </row>
    <row r="8" spans="1:3">
      <c r="A8" t="s">
        <v>190</v>
      </c>
      <c r="B8">
        <v>1.1000000000000001</v>
      </c>
      <c r="C8" s="52">
        <v>0.9</v>
      </c>
    </row>
    <row r="9" spans="1:3">
      <c r="A9" t="s">
        <v>186</v>
      </c>
      <c r="B9">
        <v>0.2</v>
      </c>
      <c r="C9" s="52">
        <v>0.1</v>
      </c>
    </row>
    <row r="10" spans="1:3">
      <c r="A10" t="s">
        <v>351</v>
      </c>
      <c r="B10">
        <v>0.8</v>
      </c>
      <c r="C10" s="52">
        <v>0.9</v>
      </c>
    </row>
    <row r="11" spans="1:3">
      <c r="A11" t="s">
        <v>187</v>
      </c>
      <c r="B11">
        <v>1</v>
      </c>
      <c r="C11" s="52">
        <v>0</v>
      </c>
    </row>
    <row r="12" spans="1:3">
      <c r="A12" t="s">
        <v>185</v>
      </c>
      <c r="B12">
        <v>1.6</v>
      </c>
      <c r="C12" s="52">
        <v>0.6</v>
      </c>
    </row>
    <row r="13" spans="1:3">
      <c r="A13" t="s">
        <v>25</v>
      </c>
      <c r="B13">
        <v>1.5</v>
      </c>
      <c r="C13" s="52">
        <v>1.2</v>
      </c>
    </row>
    <row r="14" spans="1:3">
      <c r="A14" t="s">
        <v>68</v>
      </c>
      <c r="B14">
        <v>1</v>
      </c>
      <c r="C14" s="52">
        <v>0.5</v>
      </c>
    </row>
    <row r="16" spans="1:3">
      <c r="A16" t="s">
        <v>0</v>
      </c>
      <c r="B16" t="s">
        <v>0</v>
      </c>
      <c r="C16" s="52" t="s">
        <v>0</v>
      </c>
    </row>
    <row r="35" spans="1:1">
      <c r="A35" t="s">
        <v>350</v>
      </c>
    </row>
  </sheetData>
  <customSheetViews>
    <customSheetView guid="{00BB8FC3-0B7F-4485-B1CD-FF164EC3970C}" fitToPage="1" state="hidden" topLeftCell="A10">
      <selection activeCell="G42" sqref="G42"/>
      <pageMargins left="0.7" right="0.7" top="0.78740157499999996" bottom="0.78740157499999996" header="0.3" footer="0.3"/>
      <pageSetup orientation="portrait" r:id="rId1"/>
    </customSheetView>
    <customSheetView guid="{5DDDE19F-F10F-4514-A83C-F71CDD7BE512}" fitToPage="1" state="hidden" topLeftCell="A10">
      <selection activeCell="G42" sqref="G42"/>
      <pageMargins left="0.7" right="0.7" top="0.78740157499999996" bottom="0.78740157499999996" header="0.3" footer="0.3"/>
      <pageSetup orientation="portrait" r:id="rId2"/>
    </customSheetView>
    <customSheetView guid="{9A6D0F5E-68D7-4772-8712-9975EE0A4B2C}" fitToPage="1" state="hidden" topLeftCell="A10">
      <selection activeCell="G42" sqref="G42"/>
      <pageMargins left="0.7" right="0.7" top="0.78740157499999996" bottom="0.78740157499999996" header="0.3" footer="0.3"/>
      <pageSetup orientation="portrait" r:id="rId3"/>
    </customSheetView>
  </customSheetViews>
  <pageMargins left="0.7" right="0.7" top="0.78740157499999996" bottom="0.78740157499999996" header="0.3" footer="0.3"/>
  <pageSetup orientation="portrait" r:id="rId4"/>
  <drawing r:id="rId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F20"/>
  <sheetViews>
    <sheetView topLeftCell="A10" workbookViewId="0">
      <selection activeCell="H22" sqref="H22"/>
    </sheetView>
  </sheetViews>
  <sheetFormatPr baseColWidth="10" defaultRowHeight="15"/>
  <cols>
    <col min="1" max="1" width="15.28515625" customWidth="1"/>
  </cols>
  <sheetData>
    <row r="2" spans="1:6" ht="18">
      <c r="A2" s="26" t="s">
        <v>399</v>
      </c>
    </row>
    <row r="4" spans="1:6" ht="17.25">
      <c r="A4" t="s">
        <v>355</v>
      </c>
      <c r="B4" t="s">
        <v>402</v>
      </c>
    </row>
    <row r="5" spans="1:6">
      <c r="B5">
        <v>2005</v>
      </c>
      <c r="C5">
        <v>2010</v>
      </c>
      <c r="D5">
        <v>2011</v>
      </c>
      <c r="E5">
        <v>2012</v>
      </c>
      <c r="F5">
        <v>2013</v>
      </c>
    </row>
    <row r="7" spans="1:6">
      <c r="A7" t="s">
        <v>197</v>
      </c>
      <c r="B7" s="6">
        <v>96236</v>
      </c>
      <c r="C7" s="6">
        <v>94977</v>
      </c>
      <c r="D7" s="6">
        <v>97077</v>
      </c>
      <c r="E7" s="6">
        <v>100593</v>
      </c>
      <c r="F7" s="6">
        <v>100778</v>
      </c>
    </row>
    <row r="8" spans="1:6">
      <c r="A8" t="s">
        <v>187</v>
      </c>
      <c r="B8" s="6">
        <v>18896</v>
      </c>
      <c r="C8" s="6">
        <v>17864</v>
      </c>
      <c r="D8" s="6">
        <v>18436</v>
      </c>
      <c r="E8" s="6">
        <v>18381</v>
      </c>
      <c r="F8" s="6">
        <v>17693</v>
      </c>
    </row>
    <row r="9" spans="1:6">
      <c r="A9" t="s">
        <v>25</v>
      </c>
      <c r="B9" s="6">
        <v>24551</v>
      </c>
      <c r="C9" s="6">
        <v>25074</v>
      </c>
      <c r="D9" s="6">
        <v>25767</v>
      </c>
      <c r="E9" s="6">
        <v>26095</v>
      </c>
      <c r="F9" s="6">
        <v>26445</v>
      </c>
    </row>
    <row r="10" spans="1:6">
      <c r="A10" t="s">
        <v>184</v>
      </c>
      <c r="B10" s="6">
        <v>45536</v>
      </c>
      <c r="C10" s="6">
        <v>40036</v>
      </c>
      <c r="D10" s="6">
        <v>38490</v>
      </c>
      <c r="E10" s="6">
        <v>37577</v>
      </c>
      <c r="F10" s="6">
        <v>35807</v>
      </c>
    </row>
    <row r="11" spans="1:6">
      <c r="A11" t="s">
        <v>186</v>
      </c>
      <c r="B11" s="6">
        <v>23867</v>
      </c>
      <c r="C11" s="6">
        <v>22750</v>
      </c>
      <c r="D11" s="6">
        <v>23654</v>
      </c>
      <c r="E11" s="6">
        <v>23962</v>
      </c>
      <c r="F11" s="6">
        <v>23277</v>
      </c>
    </row>
    <row r="12" spans="1:6">
      <c r="A12" t="s">
        <v>190</v>
      </c>
      <c r="B12" s="6">
        <v>74361</v>
      </c>
      <c r="C12" s="6">
        <v>68443</v>
      </c>
      <c r="D12" s="6">
        <v>70076</v>
      </c>
      <c r="E12" s="6">
        <v>70611</v>
      </c>
      <c r="F12" s="6">
        <v>67211</v>
      </c>
    </row>
    <row r="13" spans="1:6">
      <c r="A13" t="s">
        <v>185</v>
      </c>
      <c r="B13" s="6">
        <v>31615</v>
      </c>
      <c r="C13" s="6">
        <v>30802</v>
      </c>
      <c r="D13" s="6">
        <v>32334</v>
      </c>
      <c r="E13" s="6">
        <v>32905</v>
      </c>
      <c r="F13" s="6">
        <v>32914</v>
      </c>
    </row>
    <row r="14" spans="1:6">
      <c r="A14" t="s">
        <v>198</v>
      </c>
      <c r="B14" s="6">
        <v>65242</v>
      </c>
      <c r="C14" s="6">
        <v>63881</v>
      </c>
      <c r="D14" s="6">
        <v>65630</v>
      </c>
      <c r="E14" s="6">
        <v>65953</v>
      </c>
      <c r="F14" s="6">
        <v>65557</v>
      </c>
    </row>
    <row r="15" spans="1:6">
      <c r="A15" t="s">
        <v>191</v>
      </c>
      <c r="B15" s="6">
        <v>6921</v>
      </c>
      <c r="C15" s="6">
        <v>7008</v>
      </c>
      <c r="D15" s="6">
        <v>7318</v>
      </c>
      <c r="E15" s="6">
        <v>7511</v>
      </c>
      <c r="F15" s="6">
        <v>7597</v>
      </c>
    </row>
    <row r="16" spans="1:6">
      <c r="A16" s="5"/>
      <c r="B16" s="6"/>
      <c r="C16" s="6"/>
      <c r="D16" s="6"/>
      <c r="E16" s="6"/>
      <c r="F16" s="6"/>
    </row>
    <row r="18" spans="1:1">
      <c r="A18" t="s">
        <v>192</v>
      </c>
    </row>
    <row r="19" spans="1:1" ht="17.25">
      <c r="A19" t="s">
        <v>400</v>
      </c>
    </row>
    <row r="20" spans="1:1" ht="17.25">
      <c r="A20" t="s">
        <v>401</v>
      </c>
    </row>
  </sheetData>
  <customSheetViews>
    <customSheetView guid="{00BB8FC3-0B7F-4485-B1CD-FF164EC3970C}" fitToPage="1" state="hidden" topLeftCell="A10">
      <selection activeCell="H22" sqref="H22"/>
      <pageMargins left="0.7" right="0.7" top="0.78740157499999996" bottom="0.78740157499999996" header="0.3" footer="0.3"/>
      <pageSetup orientation="portrait" r:id="rId1"/>
    </customSheetView>
    <customSheetView guid="{5DDDE19F-F10F-4514-A83C-F71CDD7BE512}" fitToPage="1" state="hidden" topLeftCell="A10">
      <selection activeCell="H22" sqref="H22"/>
      <pageMargins left="0.7" right="0.7" top="0.78740157499999996" bottom="0.78740157499999996" header="0.3" footer="0.3"/>
      <pageSetup orientation="portrait" r:id="rId2"/>
    </customSheetView>
    <customSheetView guid="{9A6D0F5E-68D7-4772-8712-9975EE0A4B2C}" fitToPage="1" state="hidden" topLeftCell="A10">
      <selection activeCell="H22" sqref="H22"/>
      <pageMargins left="0.7" right="0.7" top="0.78740157499999996" bottom="0.78740157499999996" header="0.3" footer="0.3"/>
      <pageSetup orientation="portrait" r:id="rId3"/>
    </customSheetView>
  </customSheetViews>
  <pageMargins left="0.7" right="0.7" top="0.78740157499999996" bottom="0.78740157499999996"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5"/>
  <sheetViews>
    <sheetView topLeftCell="A10" zoomScaleNormal="100" workbookViewId="0">
      <selection activeCell="K20" sqref="K20"/>
    </sheetView>
  </sheetViews>
  <sheetFormatPr baseColWidth="10" defaultRowHeight="15"/>
  <cols>
    <col min="1" max="8" width="11.7109375" customWidth="1"/>
    <col min="9" max="9" width="10.85546875"/>
    <col min="10" max="10" width="11.42578125" customWidth="1"/>
  </cols>
  <sheetData>
    <row r="1" spans="1:11" ht="39.950000000000003" customHeight="1">
      <c r="A1" s="796" t="s">
        <v>24</v>
      </c>
      <c r="B1" s="796"/>
      <c r="C1" s="796"/>
      <c r="D1" s="796"/>
      <c r="E1" s="796"/>
      <c r="F1" s="796"/>
      <c r="G1" s="796"/>
      <c r="H1" s="796"/>
    </row>
    <row r="2" spans="1:11" ht="16.5" customHeight="1">
      <c r="A2" s="10"/>
      <c r="B2" s="10"/>
      <c r="C2" s="10"/>
      <c r="D2" s="10"/>
      <c r="E2" s="10"/>
      <c r="F2" s="10"/>
      <c r="G2" s="10"/>
      <c r="H2" s="10"/>
    </row>
    <row r="3" spans="1:11" ht="16.5" customHeight="1">
      <c r="A3" s="806" t="s">
        <v>298</v>
      </c>
      <c r="B3" s="806"/>
      <c r="C3" s="806"/>
      <c r="D3" s="806"/>
      <c r="E3" s="387"/>
      <c r="F3" s="387"/>
      <c r="G3" s="388"/>
      <c r="H3" s="388"/>
      <c r="I3" s="99"/>
      <c r="J3" s="99"/>
      <c r="K3" s="99"/>
    </row>
    <row r="4" spans="1:11" ht="15.75">
      <c r="A4" s="12"/>
      <c r="B4" s="10"/>
      <c r="F4" s="263">
        <v>2012</v>
      </c>
      <c r="G4" s="523">
        <v>2023</v>
      </c>
      <c r="H4" s="588">
        <v>2024</v>
      </c>
      <c r="I4" t="s">
        <v>0</v>
      </c>
      <c r="K4" s="100"/>
    </row>
    <row r="5" spans="1:11" ht="15.75">
      <c r="A5" s="808" t="s">
        <v>672</v>
      </c>
      <c r="B5" s="808"/>
      <c r="F5" s="143"/>
      <c r="G5" s="300"/>
      <c r="H5" s="410"/>
      <c r="K5" s="100"/>
    </row>
    <row r="6" spans="1:11" ht="15.75">
      <c r="A6" s="266"/>
      <c r="B6" s="10"/>
      <c r="F6" s="143"/>
      <c r="G6" s="300"/>
      <c r="H6" s="410"/>
      <c r="K6" s="100"/>
    </row>
    <row r="7" spans="1:11" ht="15.75">
      <c r="A7" s="804" t="s">
        <v>25</v>
      </c>
      <c r="B7" s="804"/>
      <c r="C7" s="804"/>
      <c r="D7" s="804"/>
      <c r="F7" s="164">
        <v>373008</v>
      </c>
      <c r="G7" s="524">
        <v>408703</v>
      </c>
      <c r="H7" s="707">
        <v>411225</v>
      </c>
      <c r="K7" s="100"/>
    </row>
    <row r="8" spans="1:11" ht="16.5">
      <c r="A8" s="805" t="s">
        <v>26</v>
      </c>
      <c r="B8" s="805"/>
      <c r="C8" s="805"/>
      <c r="D8" s="805"/>
      <c r="F8" s="164">
        <v>127909</v>
      </c>
      <c r="G8" s="524">
        <v>137556</v>
      </c>
      <c r="H8" s="707">
        <v>138278</v>
      </c>
      <c r="I8" s="80"/>
      <c r="J8" s="80"/>
      <c r="K8" s="100"/>
    </row>
    <row r="9" spans="1:11" ht="16.5">
      <c r="A9" s="805" t="s">
        <v>27</v>
      </c>
      <c r="B9" s="805"/>
      <c r="C9" s="805"/>
      <c r="D9" s="805"/>
      <c r="F9" s="164">
        <v>82997</v>
      </c>
      <c r="G9" s="524">
        <v>92993</v>
      </c>
      <c r="H9" s="707">
        <v>93774</v>
      </c>
      <c r="I9" s="80"/>
      <c r="J9" s="80"/>
      <c r="K9" s="100"/>
    </row>
    <row r="10" spans="1:11" ht="16.5">
      <c r="A10" s="805" t="s">
        <v>28</v>
      </c>
      <c r="B10" s="805"/>
      <c r="C10" s="805"/>
      <c r="D10" s="805"/>
      <c r="F10" s="164">
        <v>100758</v>
      </c>
      <c r="G10" s="524">
        <v>122372</v>
      </c>
      <c r="H10" s="707">
        <v>113198</v>
      </c>
      <c r="I10" s="80"/>
      <c r="J10" s="80"/>
      <c r="K10" s="100"/>
    </row>
    <row r="11" spans="1:11" ht="16.5">
      <c r="A11" s="805" t="s">
        <v>29</v>
      </c>
      <c r="B11" s="805"/>
      <c r="C11" s="805"/>
      <c r="D11" s="805"/>
      <c r="F11" s="164">
        <v>61344</v>
      </c>
      <c r="G11" s="524">
        <v>65782</v>
      </c>
      <c r="H11" s="707">
        <v>65975</v>
      </c>
      <c r="I11" s="80"/>
      <c r="J11" s="80"/>
      <c r="K11" s="100"/>
    </row>
    <row r="12" spans="1:11" ht="16.5">
      <c r="A12" s="389"/>
      <c r="B12" s="308"/>
      <c r="C12" s="130"/>
      <c r="D12" s="130"/>
      <c r="E12" s="130"/>
      <c r="F12" s="269"/>
      <c r="G12" s="524"/>
      <c r="H12" s="707"/>
      <c r="I12" s="80"/>
      <c r="J12" s="80"/>
      <c r="K12" s="100"/>
    </row>
    <row r="13" spans="1:11" ht="16.5">
      <c r="A13" s="809" t="s">
        <v>603</v>
      </c>
      <c r="B13" s="809"/>
      <c r="C13" s="809"/>
      <c r="D13" s="809"/>
      <c r="E13" s="130"/>
      <c r="F13" s="164">
        <v>50683</v>
      </c>
      <c r="G13" s="524">
        <v>83016</v>
      </c>
      <c r="H13" s="707">
        <v>85519</v>
      </c>
      <c r="I13" s="80"/>
      <c r="J13" s="80"/>
      <c r="K13" s="100"/>
    </row>
    <row r="14" spans="1:11" ht="16.5">
      <c r="A14" s="390"/>
      <c r="B14" s="390"/>
      <c r="C14" s="345"/>
      <c r="D14" s="345"/>
      <c r="E14" s="391"/>
      <c r="F14" s="267"/>
      <c r="G14" s="265"/>
      <c r="H14" s="33"/>
      <c r="I14" s="80"/>
      <c r="J14" s="80"/>
      <c r="K14" s="100"/>
    </row>
    <row r="15" spans="1:11" ht="16.5" customHeight="1">
      <c r="A15" s="806" t="s">
        <v>385</v>
      </c>
      <c r="B15" s="806"/>
      <c r="C15" s="806"/>
      <c r="D15" s="806"/>
      <c r="E15" s="806"/>
      <c r="F15" s="806"/>
      <c r="G15" s="806"/>
      <c r="H15" s="806"/>
      <c r="I15" s="100"/>
      <c r="J15" s="100"/>
      <c r="K15" s="100"/>
    </row>
    <row r="16" spans="1:11" ht="34.35" customHeight="1">
      <c r="A16" s="10"/>
      <c r="B16" s="10"/>
      <c r="C16" s="10"/>
      <c r="D16" s="10"/>
      <c r="E16" s="10"/>
      <c r="F16" s="10"/>
      <c r="G16" s="265"/>
      <c r="H16" s="265"/>
      <c r="I16" s="100"/>
      <c r="J16" s="100"/>
      <c r="K16" s="100"/>
    </row>
    <row r="17" spans="1:11" ht="25.5">
      <c r="A17" s="811" t="s">
        <v>386</v>
      </c>
      <c r="B17" s="811"/>
      <c r="C17" s="811"/>
      <c r="D17" s="272" t="s">
        <v>387</v>
      </c>
      <c r="E17" s="273"/>
      <c r="F17" s="589" t="s">
        <v>673</v>
      </c>
      <c r="G17" s="10"/>
      <c r="H17" s="272" t="s">
        <v>674</v>
      </c>
      <c r="I17" s="100"/>
      <c r="J17" s="100"/>
      <c r="K17" s="100"/>
    </row>
    <row r="18" spans="1:11">
      <c r="A18" s="805" t="s">
        <v>388</v>
      </c>
      <c r="B18" s="805"/>
      <c r="C18" s="805"/>
      <c r="D18" s="288">
        <v>15</v>
      </c>
      <c r="E18" s="270"/>
      <c r="F18" s="708">
        <v>5324</v>
      </c>
      <c r="G18" s="265" t="s">
        <v>0</v>
      </c>
      <c r="H18" s="416">
        <v>8.8999999999999996E-2</v>
      </c>
    </row>
    <row r="19" spans="1:11">
      <c r="A19" s="805" t="s">
        <v>389</v>
      </c>
      <c r="B19" s="805"/>
      <c r="C19" s="805"/>
      <c r="D19" s="288">
        <v>17</v>
      </c>
      <c r="E19" s="274"/>
      <c r="F19" s="708">
        <v>12330</v>
      </c>
      <c r="G19" s="265"/>
      <c r="H19" s="417">
        <v>4.3999999999999997E-2</v>
      </c>
    </row>
    <row r="20" spans="1:11">
      <c r="A20" s="805" t="s">
        <v>390</v>
      </c>
      <c r="B20" s="805"/>
      <c r="C20" s="805"/>
      <c r="D20" s="288">
        <v>26</v>
      </c>
      <c r="E20" s="275"/>
      <c r="F20" s="708">
        <v>44497</v>
      </c>
      <c r="G20" s="265"/>
      <c r="H20" s="417">
        <v>7.4999999999999997E-2</v>
      </c>
    </row>
    <row r="21" spans="1:11">
      <c r="A21" s="805" t="s">
        <v>391</v>
      </c>
      <c r="B21" s="805"/>
      <c r="C21" s="805"/>
      <c r="D21" s="288">
        <v>20</v>
      </c>
      <c r="E21" s="270"/>
      <c r="F21" s="708">
        <v>68918</v>
      </c>
      <c r="G21" s="265"/>
      <c r="H21" s="416">
        <v>8.3000000000000004E-2</v>
      </c>
    </row>
    <row r="22" spans="1:11">
      <c r="A22" s="805" t="s">
        <v>392</v>
      </c>
      <c r="B22" s="805"/>
      <c r="C22" s="805"/>
      <c r="D22" s="288">
        <v>8</v>
      </c>
      <c r="E22" s="270"/>
      <c r="F22" s="708">
        <v>56389</v>
      </c>
      <c r="G22" s="265"/>
      <c r="H22" s="416">
        <v>9.2999999999999999E-2</v>
      </c>
    </row>
    <row r="23" spans="1:11">
      <c r="A23" s="805" t="s">
        <v>393</v>
      </c>
      <c r="B23" s="805"/>
      <c r="C23" s="805"/>
      <c r="D23" s="288">
        <v>6</v>
      </c>
      <c r="E23" s="270"/>
      <c r="F23" s="708">
        <v>81111</v>
      </c>
      <c r="G23" s="265"/>
      <c r="H23" s="416">
        <v>8.1000000000000003E-2</v>
      </c>
    </row>
    <row r="24" spans="1:11" ht="16.5">
      <c r="A24" s="810" t="s">
        <v>394</v>
      </c>
      <c r="B24" s="810"/>
      <c r="C24" s="810"/>
      <c r="D24" s="415">
        <v>4</v>
      </c>
      <c r="E24" s="276"/>
      <c r="F24" s="421">
        <v>142656</v>
      </c>
      <c r="G24" s="277"/>
      <c r="H24" s="418">
        <v>0.10199999999999999</v>
      </c>
      <c r="I24" s="13"/>
    </row>
    <row r="25" spans="1:11" ht="25.35" customHeight="1">
      <c r="A25" s="12"/>
      <c r="B25" s="279"/>
      <c r="C25" s="280"/>
      <c r="D25" s="280"/>
      <c r="E25" s="279"/>
      <c r="F25" s="433"/>
      <c r="G25" s="265"/>
      <c r="H25" s="265"/>
      <c r="I25" s="100"/>
      <c r="J25" s="100"/>
      <c r="K25" s="100"/>
    </row>
    <row r="26" spans="1:11" ht="16.5" customHeight="1">
      <c r="A26" s="806" t="s">
        <v>30</v>
      </c>
      <c r="B26" s="806"/>
      <c r="C26" s="806"/>
      <c r="D26" s="806"/>
      <c r="E26" s="806"/>
      <c r="F26" s="806"/>
      <c r="G26" s="806"/>
      <c r="H26" s="806"/>
      <c r="I26" s="100"/>
      <c r="J26" s="100"/>
      <c r="K26" s="100"/>
    </row>
    <row r="27" spans="1:11" ht="15.75">
      <c r="A27" s="807" t="s">
        <v>675</v>
      </c>
      <c r="B27" s="807"/>
      <c r="C27" s="12"/>
      <c r="D27" s="10"/>
      <c r="E27" s="10"/>
      <c r="F27" s="280"/>
      <c r="G27" s="265"/>
      <c r="H27" s="265"/>
      <c r="I27" s="100"/>
      <c r="J27" s="100"/>
      <c r="K27" s="100"/>
    </row>
    <row r="28" spans="1:11" ht="15.75">
      <c r="F28" s="280"/>
      <c r="G28" s="10"/>
      <c r="H28" s="265"/>
      <c r="I28" s="100"/>
      <c r="J28" s="100"/>
      <c r="K28" s="100"/>
    </row>
    <row r="29" spans="1:11">
      <c r="A29" s="281" t="s">
        <v>31</v>
      </c>
      <c r="B29" s="269">
        <v>52059</v>
      </c>
      <c r="F29" s="281" t="s">
        <v>32</v>
      </c>
      <c r="G29" s="269">
        <v>13705</v>
      </c>
    </row>
    <row r="30" spans="1:11">
      <c r="A30" s="281" t="s">
        <v>33</v>
      </c>
      <c r="B30" s="269">
        <v>36522</v>
      </c>
      <c r="F30" s="281" t="s">
        <v>36</v>
      </c>
      <c r="G30" s="269">
        <v>12302</v>
      </c>
    </row>
    <row r="31" spans="1:11">
      <c r="A31" s="281" t="s">
        <v>35</v>
      </c>
      <c r="B31" s="269">
        <v>29664</v>
      </c>
      <c r="F31" s="281" t="s">
        <v>34</v>
      </c>
      <c r="G31" s="269">
        <v>12118</v>
      </c>
    </row>
    <row r="32" spans="1:11">
      <c r="A32" s="281" t="s">
        <v>37</v>
      </c>
      <c r="B32" s="269">
        <v>24411</v>
      </c>
      <c r="F32" s="281" t="s">
        <v>38</v>
      </c>
      <c r="G32" s="269">
        <v>10571</v>
      </c>
    </row>
    <row r="33" spans="1:8">
      <c r="A33" s="281" t="s">
        <v>39</v>
      </c>
      <c r="B33" s="269">
        <v>17304</v>
      </c>
      <c r="F33" s="281" t="s">
        <v>40</v>
      </c>
      <c r="G33" s="269">
        <v>8938</v>
      </c>
    </row>
    <row r="34" spans="1:8">
      <c r="A34" s="281" t="s">
        <v>41</v>
      </c>
      <c r="B34" s="269">
        <v>15111</v>
      </c>
      <c r="F34" s="281" t="s">
        <v>42</v>
      </c>
      <c r="G34" s="269">
        <v>8488</v>
      </c>
    </row>
    <row r="35" spans="1:8">
      <c r="A35" s="12"/>
      <c r="B35" s="278"/>
      <c r="C35" s="278"/>
      <c r="D35" s="10"/>
      <c r="E35" s="10"/>
      <c r="F35" s="280"/>
      <c r="G35" s="265"/>
      <c r="H35" s="143"/>
    </row>
    <row r="36" spans="1:8" ht="15.75">
      <c r="A36" s="262" t="s">
        <v>14</v>
      </c>
      <c r="B36" s="278"/>
      <c r="C36" s="278"/>
      <c r="D36" s="12"/>
      <c r="E36" s="280"/>
      <c r="F36" s="10"/>
      <c r="G36" s="100"/>
    </row>
    <row r="37" spans="1:8" ht="16.5">
      <c r="B37" s="1"/>
      <c r="C37" s="1"/>
      <c r="D37" s="11"/>
      <c r="E37" s="10"/>
      <c r="F37" s="10"/>
      <c r="G37" s="100"/>
    </row>
    <row r="38" spans="1:8" ht="15.75">
      <c r="G38" s="100"/>
    </row>
    <row r="55" spans="8:8">
      <c r="H55" s="262"/>
    </row>
  </sheetData>
  <customSheetViews>
    <customSheetView guid="{00BB8FC3-0B7F-4485-B1CD-FF164EC3970C}" scale="95" fitToPage="1">
      <selection activeCell="G20" sqref="G20"/>
      <pageMargins left="0.7" right="0.7" top="0.78740157499999996" bottom="0.78740157499999996" header="0.3" footer="0.3"/>
      <pageSetup paperSize="9" scale="81" orientation="portrait" r:id="rId1"/>
    </customSheetView>
    <customSheetView guid="{5DDDE19F-F10F-4514-A83C-F71CDD7BE512}" scale="95" fitToPage="1">
      <selection activeCell="G20" sqref="G20"/>
      <pageMargins left="0.7" right="0.7" top="0.78740157499999996" bottom="0.78740157499999996" header="0.3" footer="0.3"/>
      <pageSetup paperSize="9" scale="81" orientation="portrait" r:id="rId2"/>
    </customSheetView>
    <customSheetView guid="{9A6D0F5E-68D7-4772-8712-9975EE0A4B2C}" scale="95" fitToPage="1">
      <selection activeCell="G20" sqref="G20"/>
      <pageMargins left="0.7" right="0.7" top="0.78740157499999996" bottom="0.78740157499999996" header="0.3" footer="0.3"/>
      <pageSetup paperSize="9" scale="81" orientation="portrait" r:id="rId3"/>
    </customSheetView>
  </customSheetViews>
  <mergeCells count="20">
    <mergeCell ref="A19:C19"/>
    <mergeCell ref="A20:C20"/>
    <mergeCell ref="A21:C21"/>
    <mergeCell ref="A3:D3"/>
    <mergeCell ref="A27:B27"/>
    <mergeCell ref="A5:B5"/>
    <mergeCell ref="A11:D11"/>
    <mergeCell ref="A13:D13"/>
    <mergeCell ref="A15:H15"/>
    <mergeCell ref="A22:C22"/>
    <mergeCell ref="A23:C23"/>
    <mergeCell ref="A24:C24"/>
    <mergeCell ref="A26:H26"/>
    <mergeCell ref="A17:C17"/>
    <mergeCell ref="A18:C18"/>
    <mergeCell ref="A1:H1"/>
    <mergeCell ref="A7:D7"/>
    <mergeCell ref="A8:D8"/>
    <mergeCell ref="A9:D9"/>
    <mergeCell ref="A10:D10"/>
  </mergeCells>
  <phoneticPr fontId="96" type="noConversion"/>
  <pageMargins left="0.7" right="0.7" top="0.78740157499999996" bottom="0.78740157499999996" header="0.3" footer="0.3"/>
  <pageSetup paperSize="9" scale="83"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6"/>
  <sheetViews>
    <sheetView zoomScaleNormal="100" workbookViewId="0">
      <selection activeCell="K8" sqref="K8"/>
    </sheetView>
  </sheetViews>
  <sheetFormatPr baseColWidth="10" defaultColWidth="11.42578125" defaultRowHeight="12.75"/>
  <cols>
    <col min="1" max="1" width="28.42578125" style="17" customWidth="1"/>
    <col min="2" max="4" width="11.7109375" style="17" customWidth="1"/>
    <col min="5" max="5" width="11.7109375" style="24" customWidth="1"/>
    <col min="6" max="8" width="11.7109375" style="17" customWidth="1"/>
    <col min="9" max="16384" width="11.42578125" style="17"/>
  </cols>
  <sheetData>
    <row r="1" spans="1:8" s="24" customFormat="1" ht="39.950000000000003" customHeight="1">
      <c r="A1" s="796" t="s">
        <v>24</v>
      </c>
      <c r="B1" s="796"/>
      <c r="C1" s="796"/>
      <c r="D1" s="796"/>
      <c r="E1" s="796"/>
      <c r="F1" s="796"/>
      <c r="G1" s="796"/>
      <c r="H1" s="796"/>
    </row>
    <row r="2" spans="1:8" s="24" customFormat="1" ht="16.5" customHeight="1">
      <c r="A2" s="383"/>
      <c r="B2" s="383"/>
      <c r="C2" s="383"/>
      <c r="D2" s="383"/>
      <c r="E2" s="383"/>
      <c r="F2" s="383"/>
      <c r="G2" s="383"/>
      <c r="H2" s="383"/>
    </row>
    <row r="3" spans="1:8" ht="15" customHeight="1">
      <c r="A3" s="397"/>
      <c r="B3" s="141"/>
      <c r="C3" s="141"/>
      <c r="D3" s="141"/>
      <c r="E3" s="282"/>
      <c r="F3" s="284">
        <v>2013</v>
      </c>
      <c r="G3" s="511">
        <v>2022</v>
      </c>
      <c r="H3" s="591">
        <v>2023</v>
      </c>
    </row>
    <row r="4" spans="1:8" ht="15" customHeight="1">
      <c r="A4" s="285" t="s">
        <v>604</v>
      </c>
      <c r="E4" s="283"/>
      <c r="F4" s="534">
        <v>168835</v>
      </c>
      <c r="G4" s="258">
        <v>171645</v>
      </c>
      <c r="H4" s="590">
        <v>172678</v>
      </c>
    </row>
    <row r="5" spans="1:8" ht="15" customHeight="1">
      <c r="A5" s="286" t="s">
        <v>43</v>
      </c>
      <c r="E5" s="283"/>
      <c r="F5" s="258">
        <v>94444</v>
      </c>
      <c r="G5" s="258">
        <v>91512</v>
      </c>
      <c r="H5" s="590">
        <v>91393</v>
      </c>
    </row>
    <row r="6" spans="1:8" ht="15" customHeight="1">
      <c r="A6" s="286" t="s">
        <v>44</v>
      </c>
      <c r="E6" s="283"/>
      <c r="F6" s="258">
        <v>74391</v>
      </c>
      <c r="G6" s="258">
        <v>80133</v>
      </c>
      <c r="H6" s="590">
        <v>81285</v>
      </c>
    </row>
    <row r="7" spans="1:8" ht="15" customHeight="1">
      <c r="A7" s="287" t="s">
        <v>309</v>
      </c>
      <c r="E7" s="283"/>
      <c r="F7" s="258">
        <v>9330</v>
      </c>
      <c r="G7" s="258">
        <v>8975</v>
      </c>
      <c r="H7" s="590">
        <v>9394</v>
      </c>
    </row>
    <row r="8" spans="1:8" ht="15" customHeight="1">
      <c r="A8" s="286" t="s">
        <v>43</v>
      </c>
      <c r="E8" s="283"/>
      <c r="F8" s="258">
        <v>4893</v>
      </c>
      <c r="G8" s="258">
        <v>4712</v>
      </c>
      <c r="H8" s="590">
        <v>5139</v>
      </c>
    </row>
    <row r="9" spans="1:8" ht="15" customHeight="1">
      <c r="A9" s="286" t="s">
        <v>44</v>
      </c>
      <c r="E9" s="283"/>
      <c r="F9" s="258">
        <v>4437</v>
      </c>
      <c r="G9" s="258">
        <v>4263</v>
      </c>
      <c r="H9" s="590">
        <v>4255</v>
      </c>
    </row>
    <row r="10" spans="1:8" ht="15" customHeight="1">
      <c r="A10" s="466"/>
      <c r="B10" s="467"/>
      <c r="C10" s="256"/>
      <c r="D10" s="289"/>
      <c r="E10" s="139"/>
      <c r="F10" s="468"/>
      <c r="G10" s="469"/>
      <c r="H10" s="470"/>
    </row>
    <row r="11" spans="1:8" ht="27.75" customHeight="1">
      <c r="A11" s="143"/>
    </row>
    <row r="12" spans="1:8" ht="15" customHeight="1">
      <c r="A12" s="290"/>
      <c r="E12" s="814" t="s">
        <v>605</v>
      </c>
      <c r="F12" s="814"/>
      <c r="G12" s="284" t="s">
        <v>22</v>
      </c>
      <c r="H12" s="284" t="s">
        <v>310</v>
      </c>
    </row>
    <row r="13" spans="1:8" ht="15" customHeight="1">
      <c r="A13" s="291">
        <v>2011</v>
      </c>
      <c r="E13" s="140"/>
      <c r="F13" s="269">
        <v>147563</v>
      </c>
      <c r="G13" s="292">
        <v>8704</v>
      </c>
      <c r="H13" s="289">
        <v>5.6</v>
      </c>
    </row>
    <row r="14" spans="1:8" ht="15" customHeight="1">
      <c r="A14" s="291">
        <v>2012</v>
      </c>
      <c r="E14" s="140"/>
      <c r="F14" s="269">
        <v>149596</v>
      </c>
      <c r="G14" s="293">
        <v>8845</v>
      </c>
      <c r="H14" s="289">
        <v>5.6</v>
      </c>
    </row>
    <row r="15" spans="1:8" ht="15" customHeight="1">
      <c r="A15" s="291">
        <v>2013</v>
      </c>
      <c r="E15" s="140"/>
      <c r="F15" s="294">
        <v>151566</v>
      </c>
      <c r="G15" s="295">
        <v>9331</v>
      </c>
      <c r="H15" s="289">
        <v>5.8</v>
      </c>
    </row>
    <row r="16" spans="1:8" ht="15" customHeight="1">
      <c r="A16" s="296">
        <v>2014</v>
      </c>
      <c r="B16" s="141"/>
      <c r="C16" s="141"/>
      <c r="D16" s="141"/>
      <c r="E16" s="394"/>
      <c r="F16" s="258">
        <v>153955</v>
      </c>
      <c r="G16" s="292">
        <v>9827</v>
      </c>
      <c r="H16" s="289">
        <v>6</v>
      </c>
    </row>
    <row r="17" spans="1:12" s="168" customFormat="1" ht="15" customHeight="1">
      <c r="A17" s="296">
        <v>2015</v>
      </c>
      <c r="B17" s="395"/>
      <c r="C17" s="395"/>
      <c r="D17" s="395"/>
      <c r="E17" s="396"/>
      <c r="F17" s="258">
        <v>156506</v>
      </c>
      <c r="G17" s="292">
        <v>10243</v>
      </c>
      <c r="H17" s="256">
        <v>6.1</v>
      </c>
    </row>
    <row r="18" spans="1:12" s="168" customFormat="1" ht="15" customHeight="1">
      <c r="A18" s="296">
        <v>2016</v>
      </c>
      <c r="B18" s="395"/>
      <c r="C18" s="395"/>
      <c r="D18" s="395"/>
      <c r="E18" s="396"/>
      <c r="F18" s="258">
        <v>159246</v>
      </c>
      <c r="G18" s="292">
        <v>10067</v>
      </c>
      <c r="H18" s="297">
        <v>6</v>
      </c>
    </row>
    <row r="19" spans="1:12" s="168" customFormat="1" ht="15" customHeight="1">
      <c r="A19" s="296">
        <v>2017</v>
      </c>
      <c r="B19" s="395"/>
      <c r="C19" s="395"/>
      <c r="D19" s="395"/>
      <c r="E19" s="396"/>
      <c r="F19" s="258">
        <v>162343</v>
      </c>
      <c r="G19" s="292">
        <v>9959</v>
      </c>
      <c r="H19" s="297">
        <v>5.8</v>
      </c>
    </row>
    <row r="20" spans="1:12" s="168" customFormat="1" ht="15" customHeight="1">
      <c r="A20" s="296">
        <v>2018</v>
      </c>
      <c r="B20" s="395"/>
      <c r="C20" s="395"/>
      <c r="D20" s="395"/>
      <c r="E20" s="396"/>
      <c r="F20" s="258">
        <v>166286</v>
      </c>
      <c r="G20" s="292">
        <v>9492</v>
      </c>
      <c r="H20" s="297">
        <v>5.4</v>
      </c>
    </row>
    <row r="21" spans="1:12" s="168" customFormat="1" ht="15" customHeight="1">
      <c r="A21" s="296">
        <v>2019</v>
      </c>
      <c r="B21" s="395"/>
      <c r="C21" s="395"/>
      <c r="D21" s="395"/>
      <c r="E21" s="396"/>
      <c r="F21" s="258">
        <v>168372</v>
      </c>
      <c r="G21" s="292">
        <v>9461</v>
      </c>
      <c r="H21" s="297">
        <v>5.3</v>
      </c>
    </row>
    <row r="22" spans="1:12" s="168" customFormat="1" ht="15" customHeight="1">
      <c r="A22" s="296">
        <v>2020</v>
      </c>
      <c r="E22" s="167"/>
      <c r="F22" s="258">
        <v>165001</v>
      </c>
      <c r="G22" s="292">
        <v>13817</v>
      </c>
      <c r="H22" s="297">
        <v>7.7</v>
      </c>
    </row>
    <row r="23" spans="1:12" s="168" customFormat="1" ht="15" customHeight="1">
      <c r="A23" s="539">
        <v>2021</v>
      </c>
      <c r="F23" s="241">
        <v>167193</v>
      </c>
      <c r="G23" s="241">
        <v>11625</v>
      </c>
      <c r="H23" s="17">
        <v>6.5</v>
      </c>
    </row>
    <row r="24" spans="1:12" ht="15" customHeight="1">
      <c r="A24" s="677">
        <v>2022</v>
      </c>
      <c r="B24" s="535"/>
      <c r="C24" s="535"/>
      <c r="D24" s="535"/>
      <c r="E24" s="536"/>
      <c r="F24" s="258">
        <v>171645</v>
      </c>
      <c r="G24" s="292">
        <v>8975</v>
      </c>
      <c r="H24" s="297">
        <v>6.5</v>
      </c>
    </row>
    <row r="25" spans="1:12" ht="15" customHeight="1">
      <c r="A25" s="676">
        <v>2023</v>
      </c>
      <c r="B25" s="419"/>
      <c r="C25" s="419"/>
      <c r="D25" s="419"/>
      <c r="E25" s="420"/>
      <c r="F25" s="421">
        <v>172678</v>
      </c>
      <c r="G25" s="422">
        <v>9394</v>
      </c>
      <c r="H25" s="423">
        <v>5.2</v>
      </c>
    </row>
    <row r="26" spans="1:12" ht="15" customHeight="1">
      <c r="A26" s="678"/>
      <c r="B26" s="679"/>
      <c r="C26" s="679"/>
      <c r="D26" s="679"/>
      <c r="E26" s="396"/>
      <c r="F26" s="393"/>
      <c r="G26" s="680"/>
      <c r="H26" s="681"/>
    </row>
    <row r="27" spans="1:12" ht="15" customHeight="1">
      <c r="A27" s="287" t="s">
        <v>606</v>
      </c>
      <c r="B27" s="294"/>
      <c r="G27" s="399" t="s">
        <v>45</v>
      </c>
      <c r="H27" s="399" t="s">
        <v>46</v>
      </c>
      <c r="I27" s="471"/>
    </row>
    <row r="28" spans="1:12" ht="15" customHeight="1">
      <c r="A28" s="298">
        <v>2011</v>
      </c>
      <c r="B28" s="294"/>
      <c r="G28" s="294">
        <v>7374</v>
      </c>
      <c r="H28" s="294">
        <v>7334</v>
      </c>
      <c r="I28" s="471"/>
    </row>
    <row r="29" spans="1:12" ht="15" customHeight="1">
      <c r="A29" s="299">
        <v>2012</v>
      </c>
      <c r="B29" s="258"/>
      <c r="C29" s="141"/>
      <c r="D29" s="141"/>
      <c r="E29" s="139"/>
      <c r="F29" s="141"/>
      <c r="G29" s="258">
        <v>7389</v>
      </c>
      <c r="H29" s="258">
        <v>7433</v>
      </c>
      <c r="I29" s="141"/>
      <c r="J29" s="141"/>
      <c r="K29" s="141"/>
      <c r="L29" s="141"/>
    </row>
    <row r="30" spans="1:12" ht="15" customHeight="1">
      <c r="A30" s="299">
        <v>2013</v>
      </c>
      <c r="B30" s="300"/>
      <c r="C30" s="141"/>
      <c r="D30" s="141"/>
      <c r="E30" s="139"/>
      <c r="F30" s="141"/>
      <c r="G30" s="258">
        <v>7508</v>
      </c>
      <c r="H30" s="258">
        <v>8312</v>
      </c>
      <c r="I30" s="141"/>
      <c r="J30" s="141"/>
      <c r="K30" s="141"/>
      <c r="L30" s="141"/>
    </row>
    <row r="31" spans="1:12" ht="15" customHeight="1">
      <c r="A31" s="299">
        <v>2014</v>
      </c>
      <c r="B31" s="300"/>
      <c r="C31" s="141"/>
      <c r="D31" s="141"/>
      <c r="E31" s="139"/>
      <c r="F31" s="141"/>
      <c r="G31" s="258">
        <v>7706</v>
      </c>
      <c r="H31" s="258">
        <v>8226</v>
      </c>
      <c r="I31" s="141"/>
      <c r="J31" s="141"/>
      <c r="K31" s="141"/>
      <c r="L31" s="141"/>
    </row>
    <row r="32" spans="1:12" s="169" customFormat="1" ht="15" customHeight="1">
      <c r="A32" s="299">
        <v>2015</v>
      </c>
      <c r="B32" s="300"/>
      <c r="C32" s="141"/>
      <c r="D32" s="141"/>
      <c r="E32" s="139"/>
      <c r="F32" s="141"/>
      <c r="G32" s="258">
        <v>7884</v>
      </c>
      <c r="H32" s="258">
        <v>8231</v>
      </c>
      <c r="I32" s="141"/>
      <c r="J32" s="141"/>
      <c r="K32" s="141"/>
      <c r="L32" s="141"/>
    </row>
    <row r="33" spans="1:13" s="169" customFormat="1" ht="15" customHeight="1">
      <c r="A33" s="299">
        <v>2016</v>
      </c>
      <c r="B33" s="300"/>
      <c r="C33" s="141"/>
      <c r="D33" s="141"/>
      <c r="E33" s="139"/>
      <c r="F33" s="141"/>
      <c r="G33" s="258">
        <v>8203</v>
      </c>
      <c r="H33" s="258">
        <v>8410</v>
      </c>
      <c r="I33" s="141"/>
      <c r="J33" s="141"/>
      <c r="K33" s="141"/>
      <c r="L33" s="141"/>
    </row>
    <row r="34" spans="1:13" s="169" customFormat="1" ht="15" customHeight="1">
      <c r="A34" s="299">
        <v>2017</v>
      </c>
      <c r="B34" s="300"/>
      <c r="C34" s="141"/>
      <c r="D34" s="141"/>
      <c r="E34" s="139"/>
      <c r="F34" s="141"/>
      <c r="G34" s="258">
        <v>8261</v>
      </c>
      <c r="H34" s="258">
        <v>8682</v>
      </c>
      <c r="I34" s="141"/>
      <c r="J34" s="141"/>
      <c r="K34" s="141"/>
      <c r="L34" s="141"/>
    </row>
    <row r="35" spans="1:13" s="169" customFormat="1" ht="15" customHeight="1">
      <c r="A35" s="299">
        <v>2018</v>
      </c>
      <c r="B35" s="300"/>
      <c r="C35" s="141"/>
      <c r="D35" s="141"/>
      <c r="E35" s="139"/>
      <c r="F35" s="141"/>
      <c r="G35" s="258">
        <v>8254</v>
      </c>
      <c r="H35" s="258">
        <v>8711</v>
      </c>
      <c r="I35" s="141"/>
      <c r="J35" s="141"/>
      <c r="K35" s="141"/>
      <c r="L35" s="141"/>
      <c r="M35" s="141"/>
    </row>
    <row r="36" spans="1:13" s="169" customFormat="1" ht="15" customHeight="1">
      <c r="A36" s="299">
        <v>2019</v>
      </c>
      <c r="B36" s="300"/>
      <c r="C36" s="141"/>
      <c r="D36" s="141"/>
      <c r="E36" s="141"/>
      <c r="F36" s="141"/>
      <c r="G36" s="258">
        <v>8242</v>
      </c>
      <c r="H36" s="258">
        <v>8763</v>
      </c>
      <c r="I36" s="141"/>
      <c r="J36" s="141"/>
      <c r="K36" s="141"/>
      <c r="L36" s="141"/>
      <c r="M36" s="141"/>
    </row>
    <row r="37" spans="1:13" s="169" customFormat="1" ht="15" customHeight="1">
      <c r="A37" s="299">
        <v>2020</v>
      </c>
      <c r="B37" s="300"/>
      <c r="C37" s="141"/>
      <c r="D37" s="141"/>
      <c r="E37" s="141"/>
      <c r="F37" s="141"/>
      <c r="G37" s="258">
        <v>8424</v>
      </c>
      <c r="H37" s="258">
        <v>8551</v>
      </c>
      <c r="I37" s="141"/>
      <c r="J37" s="141"/>
      <c r="K37" s="141"/>
      <c r="L37" s="141"/>
      <c r="M37" s="141"/>
    </row>
    <row r="38" spans="1:13" s="169" customFormat="1" ht="15" customHeight="1">
      <c r="A38" s="299">
        <v>2021</v>
      </c>
      <c r="B38" s="300"/>
      <c r="C38" s="537"/>
      <c r="D38" s="537"/>
      <c r="E38" s="538"/>
      <c r="F38" s="537"/>
      <c r="G38" s="258">
        <v>8502</v>
      </c>
      <c r="H38" s="258">
        <v>8574</v>
      </c>
      <c r="I38" s="141"/>
      <c r="J38" s="141"/>
      <c r="K38" s="141"/>
      <c r="L38" s="141"/>
      <c r="M38" s="141"/>
    </row>
    <row r="39" spans="1:13" s="169" customFormat="1" ht="15" customHeight="1">
      <c r="A39" s="392">
        <v>2022</v>
      </c>
      <c r="B39" s="300"/>
      <c r="C39" s="537"/>
      <c r="D39" s="537"/>
      <c r="E39" s="538"/>
      <c r="F39" s="537"/>
      <c r="G39" s="258">
        <v>8693</v>
      </c>
      <c r="H39" s="258">
        <v>8749</v>
      </c>
      <c r="I39" s="141"/>
      <c r="J39" s="141"/>
      <c r="K39" s="141"/>
      <c r="L39" s="141"/>
      <c r="M39" s="141"/>
    </row>
    <row r="40" spans="1:13" s="169" customFormat="1" ht="15" customHeight="1">
      <c r="A40" s="531">
        <v>2023</v>
      </c>
      <c r="B40" s="410"/>
      <c r="C40" s="532"/>
      <c r="D40" s="532"/>
      <c r="E40" s="533"/>
      <c r="F40" s="532"/>
      <c r="G40" s="421">
        <v>8810</v>
      </c>
      <c r="H40" s="421">
        <v>8794</v>
      </c>
      <c r="I40" s="537" t="s">
        <v>0</v>
      </c>
      <c r="J40" s="141"/>
      <c r="K40" s="141"/>
      <c r="L40" s="141"/>
      <c r="M40" s="141"/>
    </row>
    <row r="41" spans="1:13" s="141" customFormat="1" ht="15" customHeight="1">
      <c r="A41" s="392"/>
      <c r="B41" s="300"/>
      <c r="C41" s="537"/>
      <c r="D41" s="537"/>
      <c r="E41" s="538"/>
      <c r="F41" s="537"/>
      <c r="G41" s="260"/>
      <c r="H41" s="260"/>
    </row>
    <row r="42" spans="1:13" ht="66.599999999999994" customHeight="1">
      <c r="A42" s="812" t="s">
        <v>645</v>
      </c>
      <c r="B42" s="812"/>
      <c r="C42" s="812"/>
      <c r="D42" s="812"/>
      <c r="E42" s="139"/>
      <c r="F42" s="141"/>
      <c r="G42" s="141"/>
      <c r="H42" s="141"/>
      <c r="I42" s="141"/>
      <c r="J42" s="141"/>
      <c r="K42" s="141"/>
      <c r="L42" s="141"/>
      <c r="M42" s="141"/>
    </row>
    <row r="43" spans="1:13" ht="21" customHeight="1">
      <c r="A43" s="813" t="s">
        <v>676</v>
      </c>
      <c r="B43" s="813"/>
      <c r="C43" s="24"/>
      <c r="D43" s="24"/>
    </row>
    <row r="44" spans="1:13" ht="14.25" customHeight="1"/>
    <row r="45" spans="1:13" ht="14.25" customHeight="1">
      <c r="A45" s="815" t="s">
        <v>451</v>
      </c>
      <c r="B45" s="815"/>
      <c r="C45" s="815"/>
      <c r="D45" s="815"/>
      <c r="E45" s="815"/>
      <c r="F45" s="815"/>
      <c r="G45" s="815"/>
      <c r="H45" s="815"/>
    </row>
    <row r="46" spans="1:13">
      <c r="A46" s="815"/>
      <c r="B46" s="815"/>
      <c r="C46" s="815"/>
      <c r="D46" s="815"/>
      <c r="E46" s="815"/>
      <c r="F46" s="815"/>
      <c r="G46" s="815"/>
      <c r="H46" s="815"/>
    </row>
  </sheetData>
  <customSheetViews>
    <customSheetView guid="{00BB8FC3-0B7F-4485-B1CD-FF164EC3970C}" scale="136" fitToPage="1" topLeftCell="A10">
      <selection activeCell="F33" sqref="F33"/>
      <pageMargins left="0.70866141732283472" right="0.70866141732283472" top="0.78740157480314965" bottom="0.78740157480314965" header="0.31496062992125984" footer="0.31496062992125984"/>
      <pageSetup paperSize="9" scale="65" orientation="portrait" cellComments="asDisplayed" r:id="rId1"/>
    </customSheetView>
    <customSheetView guid="{5DDDE19F-F10F-4514-A83C-F71CDD7BE512}" scale="136" fitToPage="1" topLeftCell="A10">
      <selection activeCell="F33" sqref="F33"/>
      <pageMargins left="0.70866141732283472" right="0.70866141732283472" top="0.78740157480314965" bottom="0.78740157480314965" header="0.31496062992125984" footer="0.31496062992125984"/>
      <pageSetup paperSize="9" scale="65" orientation="portrait" cellComments="asDisplayed" r:id="rId2"/>
    </customSheetView>
    <customSheetView guid="{9A6D0F5E-68D7-4772-8712-9975EE0A4B2C}" scale="136" fitToPage="1" topLeftCell="A10">
      <selection activeCell="F33" sqref="F33"/>
      <pageMargins left="0.70866141732283472" right="0.70866141732283472" top="0.78740157480314965" bottom="0.78740157480314965" header="0.31496062992125984" footer="0.31496062992125984"/>
      <pageSetup paperSize="9" scale="65" orientation="portrait" cellComments="asDisplayed" r:id="rId3"/>
    </customSheetView>
  </customSheetViews>
  <mergeCells count="5">
    <mergeCell ref="A42:D42"/>
    <mergeCell ref="A43:B43"/>
    <mergeCell ref="A1:H1"/>
    <mergeCell ref="E12:F12"/>
    <mergeCell ref="A45:H46"/>
  </mergeCells>
  <pageMargins left="0.70866141732283472" right="0.70866141732283472" top="0.78740157480314965" bottom="0.78740157480314965" header="0.31496062992125984" footer="0.31496062992125984"/>
  <pageSetup paperSize="9" scale="52" orientation="portrait" cellComments="asDisplayed"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6"/>
  <sheetViews>
    <sheetView topLeftCell="A26" zoomScaleNormal="100" workbookViewId="0">
      <selection activeCell="K12" sqref="K12"/>
    </sheetView>
  </sheetViews>
  <sheetFormatPr baseColWidth="10" defaultColWidth="11.42578125" defaultRowHeight="16.5"/>
  <cols>
    <col min="1" max="8" width="11.7109375" style="68" customWidth="1"/>
    <col min="9" max="9" width="11.42578125" style="68"/>
    <col min="10" max="13" width="15.7109375" style="101" customWidth="1"/>
    <col min="14" max="15" width="15.7109375" style="68" customWidth="1"/>
    <col min="16" max="16384" width="11.42578125" style="68"/>
  </cols>
  <sheetData>
    <row r="1" spans="1:18" ht="39.950000000000003" customHeight="1">
      <c r="A1" s="796" t="s">
        <v>420</v>
      </c>
      <c r="B1" s="796"/>
      <c r="C1" s="796"/>
      <c r="D1" s="796"/>
      <c r="E1" s="796"/>
      <c r="F1" s="796"/>
      <c r="G1" s="796"/>
      <c r="H1" s="796"/>
      <c r="I1" s="386"/>
      <c r="J1" s="386"/>
      <c r="K1" s="386"/>
      <c r="L1" s="386"/>
      <c r="M1" s="386"/>
      <c r="N1" s="386"/>
      <c r="O1" s="386"/>
      <c r="P1" s="386"/>
      <c r="Q1" s="386"/>
      <c r="R1" s="386"/>
    </row>
    <row r="2" spans="1:18">
      <c r="A2" s="10"/>
      <c r="B2" s="10"/>
      <c r="C2" s="10"/>
      <c r="D2" s="10"/>
      <c r="E2" s="10"/>
      <c r="F2" s="10"/>
      <c r="G2" s="10"/>
      <c r="H2" s="10"/>
      <c r="I2" s="10"/>
    </row>
    <row r="3" spans="1:18">
      <c r="A3" s="816" t="s">
        <v>420</v>
      </c>
      <c r="B3" s="816"/>
      <c r="C3" s="816"/>
      <c r="D3" s="816"/>
      <c r="E3" s="816"/>
      <c r="F3" s="816"/>
      <c r="G3" s="816"/>
      <c r="H3" s="816"/>
      <c r="I3" s="33"/>
      <c r="N3" s="80"/>
      <c r="O3" s="80"/>
    </row>
    <row r="4" spans="1:18">
      <c r="A4" s="714" t="s">
        <v>618</v>
      </c>
      <c r="B4" s="715"/>
      <c r="C4" s="714" t="s">
        <v>311</v>
      </c>
      <c r="D4" s="714" t="s">
        <v>312</v>
      </c>
      <c r="E4" s="714" t="s">
        <v>48</v>
      </c>
      <c r="F4" s="714" t="s">
        <v>49</v>
      </c>
      <c r="G4" s="714" t="s">
        <v>313</v>
      </c>
      <c r="H4" s="714"/>
      <c r="I4" s="93"/>
      <c r="N4" s="101"/>
      <c r="O4" s="101"/>
    </row>
    <row r="5" spans="1:18">
      <c r="A5" s="714" t="s">
        <v>619</v>
      </c>
      <c r="B5" s="715"/>
      <c r="C5" s="716">
        <v>9389</v>
      </c>
      <c r="D5" s="716">
        <v>36616</v>
      </c>
      <c r="E5" s="716">
        <v>68925</v>
      </c>
      <c r="F5" s="716">
        <v>74073</v>
      </c>
      <c r="G5" s="716">
        <v>14887</v>
      </c>
      <c r="H5" s="717">
        <v>203890</v>
      </c>
      <c r="I5" s="93"/>
      <c r="N5" s="101"/>
      <c r="O5" s="101"/>
    </row>
    <row r="6" spans="1:18">
      <c r="A6" s="714" t="s">
        <v>620</v>
      </c>
      <c r="B6" s="715"/>
      <c r="C6" s="718">
        <f>C5/$H$5*100</f>
        <v>4.6049340330570407</v>
      </c>
      <c r="D6" s="718">
        <f>D5/$H$5*100</f>
        <v>17.958703222325763</v>
      </c>
      <c r="E6" s="718">
        <f>E5/$H$5*100</f>
        <v>33.804992888322133</v>
      </c>
      <c r="F6" s="718">
        <f>F5/$H$5*100</f>
        <v>36.329883760851438</v>
      </c>
      <c r="G6" s="718">
        <f>G5/$H$5*100</f>
        <v>7.3014860954436216</v>
      </c>
      <c r="H6" s="716">
        <f>SUM(C6:G6)</f>
        <v>99.999999999999986</v>
      </c>
      <c r="I6" s="93"/>
      <c r="N6" s="81"/>
      <c r="O6" s="81"/>
    </row>
    <row r="7" spans="1:18">
      <c r="A7" s="149"/>
      <c r="B7" s="149"/>
      <c r="C7" s="149"/>
      <c r="D7" s="149"/>
      <c r="E7" s="149"/>
      <c r="F7" s="149"/>
      <c r="G7" s="10"/>
      <c r="H7" s="10"/>
      <c r="I7" s="10"/>
      <c r="N7" s="70"/>
      <c r="O7" s="70"/>
      <c r="P7" s="70"/>
    </row>
    <row r="8" spans="1:18">
      <c r="A8" s="149"/>
      <c r="B8" s="149"/>
      <c r="C8" s="149"/>
      <c r="D8" s="149"/>
      <c r="E8" s="149"/>
      <c r="F8" s="149"/>
      <c r="G8" s="10"/>
      <c r="H8" s="10"/>
      <c r="I8" s="10"/>
    </row>
    <row r="9" spans="1:18">
      <c r="A9" s="10"/>
      <c r="B9" s="93"/>
      <c r="C9" s="93"/>
      <c r="D9" s="301"/>
      <c r="E9" s="301"/>
      <c r="F9" s="301"/>
      <c r="G9" s="10"/>
      <c r="H9" s="10"/>
      <c r="I9" s="10"/>
    </row>
    <row r="10" spans="1:18">
      <c r="A10" s="10"/>
      <c r="B10" s="93"/>
      <c r="C10" s="93"/>
      <c r="D10" s="301"/>
      <c r="E10" s="301"/>
      <c r="F10" s="301"/>
      <c r="G10" s="10"/>
      <c r="H10" s="10"/>
      <c r="I10" s="10"/>
    </row>
    <row r="11" spans="1:18">
      <c r="A11" s="10"/>
      <c r="B11" s="93"/>
      <c r="C11" s="93"/>
      <c r="D11" s="301"/>
      <c r="E11" s="301"/>
      <c r="F11" s="301"/>
      <c r="G11" s="10"/>
      <c r="H11" s="10"/>
      <c r="I11" s="10"/>
    </row>
    <row r="12" spans="1:18">
      <c r="A12" s="10"/>
      <c r="B12" s="302"/>
      <c r="C12" s="302"/>
      <c r="D12" s="302"/>
      <c r="E12" s="302"/>
      <c r="F12" s="302"/>
      <c r="G12" s="10"/>
      <c r="H12" s="10"/>
      <c r="I12" s="10"/>
    </row>
    <row r="13" spans="1:18">
      <c r="A13" s="10"/>
      <c r="B13" s="10"/>
      <c r="C13" s="10"/>
      <c r="D13" s="10"/>
      <c r="E13" s="10"/>
      <c r="F13" s="10"/>
      <c r="G13" s="10"/>
      <c r="H13" s="10"/>
      <c r="I13" s="10"/>
    </row>
    <row r="14" spans="1:18">
      <c r="A14" s="10"/>
      <c r="B14" s="10"/>
      <c r="C14" s="10"/>
      <c r="D14" s="10"/>
      <c r="E14" s="10"/>
      <c r="F14" s="10"/>
      <c r="G14" s="10"/>
      <c r="H14" s="10"/>
      <c r="I14" s="10"/>
    </row>
    <row r="15" spans="1:18">
      <c r="A15" s="10"/>
      <c r="B15" s="10"/>
      <c r="C15" s="10"/>
      <c r="D15" s="10"/>
      <c r="E15" s="10"/>
      <c r="F15" s="10"/>
      <c r="G15" s="10"/>
      <c r="H15" s="10"/>
      <c r="I15" s="10"/>
    </row>
    <row r="16" spans="1:18">
      <c r="A16" s="10"/>
      <c r="B16" s="10"/>
      <c r="C16" s="10"/>
      <c r="D16" s="10"/>
      <c r="E16" s="10"/>
      <c r="F16" s="10"/>
      <c r="G16" s="10"/>
      <c r="H16" s="10"/>
      <c r="I16" s="10"/>
    </row>
    <row r="17" spans="1:13">
      <c r="A17" s="10"/>
      <c r="B17" s="10"/>
      <c r="C17" s="10"/>
      <c r="D17" s="10"/>
      <c r="E17" s="10"/>
      <c r="F17" s="10"/>
      <c r="G17" s="10"/>
      <c r="H17" s="10"/>
      <c r="I17" s="10"/>
    </row>
    <row r="18" spans="1:13">
      <c r="A18" s="10"/>
      <c r="B18" s="10"/>
      <c r="C18" s="10"/>
      <c r="D18" s="10"/>
      <c r="E18" s="10"/>
      <c r="F18" s="10"/>
      <c r="G18" s="10"/>
      <c r="H18" s="10"/>
      <c r="I18" s="10"/>
    </row>
    <row r="19" spans="1:13">
      <c r="A19" s="10"/>
      <c r="B19" s="10"/>
      <c r="C19" s="10"/>
      <c r="D19" s="10"/>
      <c r="E19" s="10"/>
      <c r="F19" s="10"/>
      <c r="G19" s="10"/>
      <c r="H19" s="10"/>
      <c r="I19" s="10"/>
    </row>
    <row r="20" spans="1:13">
      <c r="A20" s="10"/>
      <c r="B20" s="10"/>
      <c r="C20" s="10"/>
      <c r="D20" s="10"/>
      <c r="E20" s="10"/>
      <c r="F20" s="10"/>
      <c r="G20" s="10"/>
      <c r="H20" s="10"/>
      <c r="I20" s="10"/>
    </row>
    <row r="21" spans="1:13">
      <c r="A21" s="10"/>
      <c r="B21" s="10"/>
      <c r="C21" s="10"/>
      <c r="D21" s="10"/>
      <c r="E21" s="10"/>
      <c r="F21" s="10"/>
      <c r="G21" s="10"/>
      <c r="H21" s="10"/>
      <c r="I21" s="10"/>
    </row>
    <row r="22" spans="1:13">
      <c r="A22" s="10"/>
      <c r="B22" s="10"/>
      <c r="C22" s="10"/>
      <c r="D22" s="10"/>
      <c r="E22" s="10"/>
      <c r="F22" s="10"/>
      <c r="G22" s="10"/>
      <c r="H22" s="10"/>
      <c r="I22" s="10"/>
    </row>
    <row r="23" spans="1:13">
      <c r="A23" s="10"/>
      <c r="B23" s="10"/>
      <c r="C23" s="10"/>
      <c r="D23" s="10"/>
      <c r="E23" s="10"/>
      <c r="F23" s="10"/>
      <c r="G23" s="10"/>
      <c r="H23" s="10"/>
      <c r="I23" s="10"/>
    </row>
    <row r="24" spans="1:13">
      <c r="A24" s="10"/>
      <c r="B24" s="10"/>
      <c r="C24" s="10"/>
      <c r="D24" s="10"/>
      <c r="E24" s="10"/>
      <c r="F24" s="10"/>
      <c r="G24" s="10"/>
      <c r="H24" s="10"/>
      <c r="I24" s="10"/>
    </row>
    <row r="25" spans="1:13">
      <c r="A25" s="10"/>
      <c r="B25" s="10"/>
      <c r="C25" s="10"/>
      <c r="D25" s="10"/>
      <c r="E25" s="10"/>
      <c r="F25" s="10"/>
      <c r="G25" s="10"/>
      <c r="H25" s="10"/>
      <c r="I25" s="10"/>
    </row>
    <row r="26" spans="1:13">
      <c r="A26" s="10"/>
      <c r="B26" s="10"/>
      <c r="C26" s="10"/>
      <c r="D26" s="10"/>
      <c r="E26" s="10"/>
      <c r="F26" s="10"/>
      <c r="G26" s="10"/>
      <c r="H26" s="10"/>
      <c r="I26" s="10"/>
    </row>
    <row r="27" spans="1:13" s="80" customFormat="1">
      <c r="A27" s="472" t="s">
        <v>678</v>
      </c>
      <c r="B27" s="143"/>
      <c r="C27" s="33"/>
      <c r="D27" s="33"/>
      <c r="E27" s="33"/>
      <c r="F27" s="33"/>
      <c r="G27" s="33"/>
      <c r="H27" s="33"/>
      <c r="I27" s="33"/>
      <c r="J27" s="101"/>
      <c r="K27" s="101"/>
      <c r="L27" s="101"/>
      <c r="M27" s="101"/>
    </row>
    <row r="28" spans="1:13">
      <c r="A28" s="10"/>
      <c r="B28" s="10"/>
      <c r="C28" s="10"/>
      <c r="D28" s="10"/>
      <c r="E28" s="10"/>
      <c r="F28" s="10"/>
      <c r="G28" s="10"/>
      <c r="H28" s="10"/>
      <c r="I28" s="10"/>
    </row>
    <row r="29" spans="1:13" s="69" customFormat="1" ht="18.75">
      <c r="A29" s="817" t="s">
        <v>607</v>
      </c>
      <c r="B29" s="817"/>
      <c r="C29" s="817"/>
      <c r="D29" s="817"/>
      <c r="E29" s="817"/>
      <c r="F29" s="817"/>
      <c r="G29" s="817"/>
      <c r="H29" s="817"/>
      <c r="I29" s="73"/>
      <c r="J29" s="101"/>
      <c r="K29" s="101"/>
      <c r="L29" s="101"/>
      <c r="M29" s="101"/>
    </row>
    <row r="30" spans="1:13">
      <c r="A30" s="143" t="s">
        <v>438</v>
      </c>
      <c r="B30" s="180"/>
      <c r="C30" s="180"/>
      <c r="D30" s="180"/>
      <c r="E30" s="180"/>
      <c r="F30" s="180"/>
      <c r="G30" s="10"/>
      <c r="H30" s="10"/>
      <c r="I30" s="10"/>
    </row>
    <row r="31" spans="1:13">
      <c r="A31" s="180"/>
      <c r="B31" s="180"/>
      <c r="C31" s="180"/>
      <c r="D31" s="180"/>
      <c r="E31" s="180"/>
      <c r="F31" s="180"/>
      <c r="G31" s="10"/>
      <c r="H31" s="10"/>
      <c r="I31" s="10"/>
    </row>
    <row r="32" spans="1:13">
      <c r="F32" s="180"/>
      <c r="H32" s="714"/>
      <c r="I32" s="714" t="s">
        <v>125</v>
      </c>
      <c r="J32" s="714" t="s">
        <v>50</v>
      </c>
      <c r="K32" s="714" t="s">
        <v>125</v>
      </c>
      <c r="L32" s="714" t="s">
        <v>50</v>
      </c>
    </row>
    <row r="33" spans="6:12">
      <c r="F33" s="180"/>
      <c r="H33" s="714">
        <v>2008</v>
      </c>
      <c r="I33" s="716">
        <v>144177</v>
      </c>
      <c r="J33" s="716">
        <v>366397</v>
      </c>
      <c r="K33" s="714">
        <v>100</v>
      </c>
      <c r="L33" s="714">
        <v>100</v>
      </c>
    </row>
    <row r="34" spans="6:12">
      <c r="F34" s="180"/>
      <c r="H34" s="714">
        <v>2009</v>
      </c>
      <c r="I34" s="716">
        <v>142362</v>
      </c>
      <c r="J34" s="716">
        <v>367590</v>
      </c>
      <c r="K34" s="721">
        <f t="shared" ref="K34:K48" si="0">$I34/($I$33/100)</f>
        <v>98.74113069352255</v>
      </c>
      <c r="L34" s="721">
        <f t="shared" ref="L34:L48" si="1">$J34/($J$33/100)</f>
        <v>100.3256031026455</v>
      </c>
    </row>
    <row r="35" spans="6:12">
      <c r="F35" s="180"/>
      <c r="H35" s="714">
        <v>2010</v>
      </c>
      <c r="I35" s="716">
        <v>144268</v>
      </c>
      <c r="J35" s="716">
        <v>368894</v>
      </c>
      <c r="K35" s="721">
        <f t="shared" si="0"/>
        <v>100.06311686329997</v>
      </c>
      <c r="L35" s="721">
        <f t="shared" si="1"/>
        <v>100.68150121316496</v>
      </c>
    </row>
    <row r="36" spans="6:12">
      <c r="F36" s="180"/>
      <c r="H36" s="714">
        <v>2011</v>
      </c>
      <c r="I36" s="716">
        <v>147563</v>
      </c>
      <c r="J36" s="716">
        <v>370096</v>
      </c>
      <c r="K36" s="721">
        <f t="shared" si="0"/>
        <v>102.34850218828245</v>
      </c>
      <c r="L36" s="721">
        <f t="shared" si="1"/>
        <v>101.00956066780023</v>
      </c>
    </row>
    <row r="37" spans="6:12">
      <c r="F37" s="180"/>
      <c r="H37" s="714">
        <v>2012</v>
      </c>
      <c r="I37" s="716">
        <v>149596</v>
      </c>
      <c r="J37" s="716">
        <v>373294</v>
      </c>
      <c r="K37" s="721">
        <f t="shared" si="0"/>
        <v>103.75857452991809</v>
      </c>
      <c r="L37" s="721">
        <f t="shared" si="1"/>
        <v>101.88238440816929</v>
      </c>
    </row>
    <row r="38" spans="6:12">
      <c r="F38" s="180"/>
      <c r="H38" s="714">
        <v>2013</v>
      </c>
      <c r="I38" s="716">
        <v>151564</v>
      </c>
      <c r="J38" s="716">
        <v>375263</v>
      </c>
      <c r="K38" s="721">
        <f t="shared" si="0"/>
        <v>105.12356339776802</v>
      </c>
      <c r="L38" s="721">
        <f t="shared" si="1"/>
        <v>102.41977963793373</v>
      </c>
    </row>
    <row r="39" spans="6:12">
      <c r="F39" s="180"/>
      <c r="H39" s="714">
        <v>2014</v>
      </c>
      <c r="I39" s="716">
        <v>153955</v>
      </c>
      <c r="J39" s="716">
        <v>378380</v>
      </c>
      <c r="K39" s="721">
        <f t="shared" si="0"/>
        <v>106.78194164117717</v>
      </c>
      <c r="L39" s="721">
        <f t="shared" si="1"/>
        <v>103.27049621039474</v>
      </c>
    </row>
    <row r="40" spans="6:12">
      <c r="F40" s="180"/>
      <c r="H40" s="714">
        <v>2015</v>
      </c>
      <c r="I40" s="716">
        <v>156506</v>
      </c>
      <c r="J40" s="716">
        <v>382552</v>
      </c>
      <c r="K40" s="721">
        <f t="shared" si="0"/>
        <v>108.55129458928955</v>
      </c>
      <c r="L40" s="721">
        <f t="shared" si="1"/>
        <v>104.40915182165793</v>
      </c>
    </row>
    <row r="41" spans="6:12">
      <c r="F41" s="180"/>
      <c r="H41" s="714">
        <v>2016</v>
      </c>
      <c r="I41" s="716">
        <v>159246</v>
      </c>
      <c r="J41" s="716">
        <v>388110</v>
      </c>
      <c r="K41" s="721">
        <f t="shared" si="0"/>
        <v>110.45173640733266</v>
      </c>
      <c r="L41" s="721">
        <f t="shared" si="1"/>
        <v>105.92608563934749</v>
      </c>
    </row>
    <row r="42" spans="6:12">
      <c r="F42" s="180"/>
      <c r="H42" s="714">
        <v>2017</v>
      </c>
      <c r="I42" s="716">
        <v>162343</v>
      </c>
      <c r="J42" s="716">
        <v>391489</v>
      </c>
      <c r="K42" s="721">
        <f t="shared" si="0"/>
        <v>112.59979053524488</v>
      </c>
      <c r="L42" s="721">
        <f t="shared" si="1"/>
        <v>106.84830934751103</v>
      </c>
    </row>
    <row r="43" spans="6:12">
      <c r="F43" s="180"/>
      <c r="H43" s="714">
        <v>2018</v>
      </c>
      <c r="I43" s="716">
        <v>166286</v>
      </c>
      <c r="J43" s="716">
        <v>394126</v>
      </c>
      <c r="K43" s="721">
        <f t="shared" si="0"/>
        <v>115.33462341427551</v>
      </c>
      <c r="L43" s="721">
        <f t="shared" si="1"/>
        <v>107.56802048051703</v>
      </c>
    </row>
    <row r="44" spans="6:12">
      <c r="F44" s="180"/>
      <c r="H44" s="714">
        <v>2019</v>
      </c>
      <c r="I44" s="716">
        <v>168371</v>
      </c>
      <c r="J44" s="716">
        <v>397003</v>
      </c>
      <c r="K44" s="721">
        <f t="shared" si="0"/>
        <v>116.7807625349397</v>
      </c>
      <c r="L44" s="721">
        <f t="shared" si="1"/>
        <v>108.35323433325055</v>
      </c>
    </row>
    <row r="45" spans="6:12">
      <c r="F45" s="180"/>
      <c r="H45" s="714">
        <v>2020</v>
      </c>
      <c r="I45" s="716">
        <v>165001</v>
      </c>
      <c r="J45" s="716">
        <v>399424</v>
      </c>
      <c r="K45" s="721">
        <f t="shared" si="0"/>
        <v>114.44335781712756</v>
      </c>
      <c r="L45" s="721">
        <f t="shared" si="1"/>
        <v>109.01399301850179</v>
      </c>
    </row>
    <row r="46" spans="6:12">
      <c r="F46" s="180"/>
      <c r="H46" s="714">
        <v>2021</v>
      </c>
      <c r="I46" s="716">
        <v>167196</v>
      </c>
      <c r="J46" s="716">
        <v>401438</v>
      </c>
      <c r="K46" s="721">
        <f t="shared" si="0"/>
        <v>115.96579204727523</v>
      </c>
      <c r="L46" s="721">
        <f t="shared" si="1"/>
        <v>109.56367000821514</v>
      </c>
    </row>
    <row r="47" spans="6:12">
      <c r="F47" s="180"/>
      <c r="H47" s="714">
        <v>2022</v>
      </c>
      <c r="I47" s="716">
        <v>171644</v>
      </c>
      <c r="J47" s="716">
        <v>405420</v>
      </c>
      <c r="K47" s="721">
        <f t="shared" si="0"/>
        <v>119.05088883802549</v>
      </c>
      <c r="L47" s="721">
        <f t="shared" si="1"/>
        <v>110.65046929969405</v>
      </c>
    </row>
    <row r="48" spans="6:12">
      <c r="F48" s="180"/>
      <c r="H48" s="714">
        <v>2023</v>
      </c>
      <c r="I48" s="716">
        <v>172678</v>
      </c>
      <c r="J48" s="716">
        <v>409209</v>
      </c>
      <c r="K48" s="721">
        <f t="shared" si="0"/>
        <v>119.76806286717022</v>
      </c>
      <c r="L48" s="721">
        <f t="shared" si="1"/>
        <v>111.68459348739209</v>
      </c>
    </row>
    <row r="49" spans="1:12">
      <c r="A49" s="180"/>
      <c r="B49" s="180"/>
      <c r="C49" s="180"/>
      <c r="D49" s="180"/>
      <c r="E49" s="180"/>
      <c r="F49" s="180"/>
      <c r="H49" s="714"/>
      <c r="I49" s="714"/>
      <c r="J49" s="714"/>
      <c r="K49" s="722"/>
      <c r="L49" s="722"/>
    </row>
    <row r="50" spans="1:12">
      <c r="D50" s="180"/>
      <c r="E50" s="180"/>
      <c r="F50" s="180"/>
      <c r="H50" s="714"/>
      <c r="I50" s="714" t="s">
        <v>125</v>
      </c>
      <c r="J50" s="714" t="s">
        <v>50</v>
      </c>
      <c r="K50" s="722"/>
      <c r="L50" s="722"/>
    </row>
    <row r="51" spans="1:12">
      <c r="D51" s="180"/>
      <c r="E51" s="180"/>
      <c r="F51" s="180"/>
      <c r="H51" s="714">
        <v>2009</v>
      </c>
      <c r="I51" s="721">
        <v>98.7</v>
      </c>
      <c r="J51" s="721">
        <v>100.3</v>
      </c>
      <c r="K51" s="722"/>
      <c r="L51" s="722"/>
    </row>
    <row r="52" spans="1:12">
      <c r="D52" s="180"/>
      <c r="E52" s="180"/>
      <c r="F52" s="180"/>
      <c r="H52" s="714">
        <v>2010</v>
      </c>
      <c r="I52" s="721">
        <v>100.1</v>
      </c>
      <c r="J52" s="721">
        <v>100.7</v>
      </c>
      <c r="K52" s="722"/>
      <c r="L52" s="722"/>
    </row>
    <row r="53" spans="1:12">
      <c r="D53" s="180"/>
      <c r="E53" s="180"/>
      <c r="F53" s="180"/>
      <c r="H53" s="714">
        <v>2011</v>
      </c>
      <c r="I53" s="721">
        <v>102.3</v>
      </c>
      <c r="J53" s="721">
        <v>101</v>
      </c>
      <c r="K53" s="722"/>
      <c r="L53" s="722"/>
    </row>
    <row r="54" spans="1:12">
      <c r="D54" s="180"/>
      <c r="E54" s="180"/>
      <c r="F54" s="180"/>
      <c r="H54" s="714">
        <v>2012</v>
      </c>
      <c r="I54" s="721">
        <v>103.8</v>
      </c>
      <c r="J54" s="721">
        <v>101.4</v>
      </c>
      <c r="K54" s="722"/>
      <c r="L54" s="722"/>
    </row>
    <row r="55" spans="1:12">
      <c r="D55" s="180"/>
      <c r="E55" s="180"/>
      <c r="F55" s="180"/>
      <c r="H55" s="714">
        <v>2013</v>
      </c>
      <c r="I55" s="721">
        <v>105.1</v>
      </c>
      <c r="J55" s="721">
        <v>102</v>
      </c>
      <c r="K55" s="722"/>
      <c r="L55" s="722"/>
    </row>
    <row r="56" spans="1:12" ht="17.25" customHeight="1">
      <c r="D56" s="180"/>
      <c r="E56" s="180"/>
      <c r="F56" s="180"/>
      <c r="H56" s="714">
        <v>2014</v>
      </c>
      <c r="I56" s="721">
        <v>106.8</v>
      </c>
      <c r="J56" s="721">
        <v>103.3</v>
      </c>
      <c r="K56" s="722"/>
      <c r="L56" s="722"/>
    </row>
    <row r="57" spans="1:12">
      <c r="D57" s="180"/>
      <c r="E57" s="180"/>
      <c r="F57" s="180"/>
      <c r="H57" s="714">
        <v>2015</v>
      </c>
      <c r="I57" s="721">
        <v>108.6</v>
      </c>
      <c r="J57" s="721">
        <v>104.4</v>
      </c>
      <c r="K57" s="722"/>
      <c r="L57" s="722"/>
    </row>
    <row r="58" spans="1:12">
      <c r="D58" s="180"/>
      <c r="E58" s="180"/>
      <c r="F58" s="180"/>
      <c r="H58" s="714">
        <v>2016</v>
      </c>
      <c r="I58" s="721">
        <v>110.5</v>
      </c>
      <c r="J58" s="721">
        <v>105.9</v>
      </c>
      <c r="K58" s="722"/>
      <c r="L58" s="722"/>
    </row>
    <row r="59" spans="1:12">
      <c r="D59" s="180"/>
      <c r="E59" s="180"/>
      <c r="F59" s="180"/>
      <c r="H59" s="714">
        <v>2017</v>
      </c>
      <c r="I59" s="721">
        <v>112.6</v>
      </c>
      <c r="J59" s="721">
        <v>106.8</v>
      </c>
      <c r="K59" s="722"/>
      <c r="L59" s="722"/>
    </row>
    <row r="60" spans="1:12">
      <c r="D60" s="10"/>
      <c r="E60" s="10"/>
      <c r="F60" s="10"/>
      <c r="H60" s="714">
        <v>2018</v>
      </c>
      <c r="I60" s="721">
        <v>115.3</v>
      </c>
      <c r="J60" s="721">
        <v>107.6</v>
      </c>
      <c r="K60" s="722"/>
      <c r="L60" s="722"/>
    </row>
    <row r="61" spans="1:12">
      <c r="D61" s="10"/>
      <c r="E61" s="10"/>
      <c r="F61" s="10"/>
      <c r="H61" s="714">
        <v>2019</v>
      </c>
      <c r="I61" s="714">
        <v>116.8</v>
      </c>
      <c r="J61" s="714">
        <v>108.4</v>
      </c>
      <c r="K61" s="722"/>
      <c r="L61" s="722"/>
    </row>
    <row r="62" spans="1:12">
      <c r="D62" s="10"/>
      <c r="E62" s="10"/>
      <c r="F62" s="10"/>
      <c r="H62" s="714">
        <v>2020</v>
      </c>
      <c r="I62" s="714">
        <v>114.4</v>
      </c>
      <c r="J62" s="721">
        <v>109</v>
      </c>
      <c r="K62" s="722"/>
      <c r="L62" s="722"/>
    </row>
    <row r="63" spans="1:12">
      <c r="D63" s="10"/>
      <c r="E63" s="10"/>
      <c r="F63" s="10"/>
      <c r="H63" s="714">
        <v>2021</v>
      </c>
      <c r="I63" s="721">
        <v>116</v>
      </c>
      <c r="J63" s="721">
        <v>109.6</v>
      </c>
      <c r="K63" s="722"/>
      <c r="L63" s="722"/>
    </row>
    <row r="64" spans="1:12">
      <c r="D64" s="10"/>
      <c r="E64" s="10"/>
      <c r="F64" s="10"/>
      <c r="H64" s="714">
        <v>2022</v>
      </c>
      <c r="I64" s="714">
        <v>119.1</v>
      </c>
      <c r="J64" s="714">
        <v>110.7</v>
      </c>
      <c r="K64" s="722"/>
      <c r="L64" s="722"/>
    </row>
    <row r="65" spans="1:12">
      <c r="D65" s="10"/>
      <c r="E65" s="10"/>
      <c r="F65" s="10"/>
      <c r="H65" s="714">
        <v>2023</v>
      </c>
      <c r="I65" s="714">
        <v>119.8</v>
      </c>
      <c r="J65" s="714">
        <v>111.7</v>
      </c>
      <c r="K65" s="722"/>
      <c r="L65" s="722"/>
    </row>
    <row r="66" spans="1:12">
      <c r="A66" s="10"/>
      <c r="B66" s="10"/>
      <c r="C66" s="10"/>
      <c r="D66" s="10"/>
      <c r="E66" s="10"/>
      <c r="F66" s="10"/>
      <c r="G66" s="10"/>
      <c r="H66" s="10"/>
      <c r="I66" s="10"/>
    </row>
    <row r="67" spans="1:12">
      <c r="A67" s="486" t="s">
        <v>677</v>
      </c>
      <c r="B67" s="486"/>
      <c r="C67" s="486"/>
      <c r="D67" s="486"/>
      <c r="E67" s="486"/>
      <c r="F67" s="486"/>
      <c r="G67" s="486"/>
      <c r="H67" s="486"/>
      <c r="I67" s="300"/>
    </row>
    <row r="68" spans="1:12">
      <c r="A68" s="10"/>
      <c r="B68" s="10"/>
      <c r="C68" s="10"/>
      <c r="D68" s="10"/>
      <c r="E68" s="10"/>
      <c r="F68" s="10"/>
      <c r="G68" s="10"/>
      <c r="H68" s="10"/>
      <c r="I68" s="10"/>
    </row>
    <row r="69" spans="1:12">
      <c r="A69" s="75" t="s">
        <v>646</v>
      </c>
      <c r="B69" s="75"/>
      <c r="C69" s="75"/>
      <c r="D69" s="75"/>
      <c r="E69" s="75"/>
      <c r="F69" s="10"/>
      <c r="G69" s="10"/>
      <c r="H69" s="10"/>
      <c r="I69" s="10"/>
    </row>
    <row r="70" spans="1:12">
      <c r="A70" s="10"/>
      <c r="B70" s="10"/>
      <c r="C70" s="10"/>
      <c r="D70" s="10"/>
      <c r="E70" s="10"/>
      <c r="F70" s="10"/>
      <c r="G70" s="10"/>
      <c r="H70" s="10"/>
      <c r="I70" s="10"/>
    </row>
    <row r="74" spans="1:12">
      <c r="A74" s="719" t="s">
        <v>556</v>
      </c>
      <c r="B74" s="719"/>
      <c r="C74" s="720"/>
      <c r="D74" s="10"/>
      <c r="E74" s="10"/>
      <c r="F74" s="10"/>
      <c r="G74" s="10"/>
      <c r="H74" s="10"/>
      <c r="I74" s="10"/>
    </row>
    <row r="75" spans="1:12">
      <c r="A75" s="10"/>
      <c r="B75" s="10"/>
      <c r="C75" s="10"/>
      <c r="D75" s="10"/>
      <c r="E75" s="10"/>
      <c r="F75" s="10"/>
      <c r="G75" s="10"/>
      <c r="H75" s="10"/>
      <c r="I75" s="10"/>
    </row>
    <row r="76" spans="1:12">
      <c r="A76" s="10"/>
      <c r="B76" s="10"/>
      <c r="C76" s="10"/>
      <c r="D76" s="10"/>
      <c r="E76" s="10"/>
      <c r="F76" s="10"/>
      <c r="G76" s="10"/>
      <c r="H76" s="10"/>
      <c r="I76" s="10"/>
    </row>
  </sheetData>
  <customSheetViews>
    <customSheetView guid="{00BB8FC3-0B7F-4485-B1CD-FF164EC3970C}" scale="90" fitToPage="1">
      <selection activeCell="G36" sqref="G36"/>
      <rowBreaks count="1" manualBreakCount="1">
        <brk id="28" max="16383" man="1"/>
      </rowBreaks>
      <pageMargins left="0.7" right="0.7" top="0.78740157499999996" bottom="0.78740157499999996" header="0.3" footer="0.3"/>
      <pageSetup paperSize="9" scale="59" orientation="portrait" r:id="rId1"/>
    </customSheetView>
    <customSheetView guid="{5DDDE19F-F10F-4514-A83C-F71CDD7BE512}" scale="90" fitToPage="1">
      <selection activeCell="G36" sqref="G36"/>
      <rowBreaks count="1" manualBreakCount="1">
        <brk id="28" max="16383" man="1"/>
      </rowBreaks>
      <pageMargins left="0.7" right="0.7" top="0.78740157499999996" bottom="0.78740157499999996" header="0.3" footer="0.3"/>
      <pageSetup paperSize="9" scale="59" orientation="portrait" r:id="rId2"/>
    </customSheetView>
    <customSheetView guid="{9A6D0F5E-68D7-4772-8712-9975EE0A4B2C}" scale="90" fitToPage="1">
      <selection activeCell="G36" sqref="G36"/>
      <rowBreaks count="1" manualBreakCount="1">
        <brk id="28" max="16383" man="1"/>
      </rowBreaks>
      <pageMargins left="0.7" right="0.7" top="0.78740157499999996" bottom="0.78740157499999996" header="0.3" footer="0.3"/>
      <pageSetup paperSize="9" scale="59" orientation="portrait" r:id="rId3"/>
    </customSheetView>
  </customSheetViews>
  <mergeCells count="3">
    <mergeCell ref="A1:H1"/>
    <mergeCell ref="A3:H3"/>
    <mergeCell ref="A29:H29"/>
  </mergeCells>
  <pageMargins left="0.70866141732283472" right="0.70866141732283472" top="0.78740157480314965" bottom="0.78740157480314965" header="0.31496062992125984" footer="0.31496062992125984"/>
  <pageSetup paperSize="9" scale="60" orientation="portrait" r:id="rId4"/>
  <rowBreaks count="1" manualBreakCount="1">
    <brk id="28" max="16383" man="1"/>
  </rowBreak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8"/>
  <sheetViews>
    <sheetView topLeftCell="A5" workbookViewId="0">
      <selection activeCell="H12" sqref="H12"/>
    </sheetView>
  </sheetViews>
  <sheetFormatPr baseColWidth="10" defaultColWidth="11.42578125" defaultRowHeight="15"/>
  <cols>
    <col min="1" max="1" width="24.42578125" style="2" customWidth="1"/>
    <col min="2" max="2" width="13.42578125" style="2" customWidth="1"/>
    <col min="3" max="3" width="27" style="2" customWidth="1"/>
    <col min="4" max="4" width="17.85546875" style="2" customWidth="1"/>
    <col min="5" max="5" width="14.42578125" style="2" customWidth="1"/>
    <col min="6" max="16384" width="11.42578125" style="2"/>
  </cols>
  <sheetData>
    <row r="1" spans="1:6" ht="39.950000000000003" customHeight="1">
      <c r="A1" s="796" t="s">
        <v>50</v>
      </c>
      <c r="B1" s="796"/>
      <c r="C1" s="796"/>
      <c r="D1" s="796"/>
      <c r="E1" s="796"/>
      <c r="F1" s="796"/>
    </row>
    <row r="2" spans="1:6">
      <c r="A2" s="303"/>
      <c r="B2" s="240"/>
      <c r="C2" s="240"/>
      <c r="D2" s="240"/>
      <c r="E2" s="240"/>
      <c r="F2" s="240"/>
    </row>
    <row r="3" spans="1:6">
      <c r="A3" s="616" t="s">
        <v>668</v>
      </c>
      <c r="B3" s="170"/>
      <c r="C3" s="196" t="s">
        <v>679</v>
      </c>
      <c r="D3" s="240"/>
      <c r="E3" s="240"/>
      <c r="F3" s="240"/>
    </row>
    <row r="4" spans="1:6">
      <c r="A4" s="617"/>
      <c r="B4" s="240"/>
      <c r="C4" s="240"/>
      <c r="D4" s="617" t="s">
        <v>51</v>
      </c>
      <c r="E4" s="825" t="s">
        <v>637</v>
      </c>
      <c r="F4" s="240"/>
    </row>
    <row r="5" spans="1:6">
      <c r="A5" s="617"/>
      <c r="B5" s="240"/>
      <c r="C5" s="240"/>
      <c r="D5" s="617" t="s">
        <v>52</v>
      </c>
      <c r="E5" s="825"/>
      <c r="F5" s="240"/>
    </row>
    <row r="6" spans="1:6" ht="20.100000000000001" customHeight="1">
      <c r="A6" s="824" t="s">
        <v>53</v>
      </c>
      <c r="B6" s="824"/>
      <c r="C6" s="824"/>
      <c r="D6" s="618">
        <v>32233</v>
      </c>
      <c r="E6" s="618">
        <v>8458</v>
      </c>
      <c r="F6" s="240"/>
    </row>
    <row r="7" spans="1:6" ht="20.100000000000001" customHeight="1">
      <c r="A7" s="819" t="s">
        <v>54</v>
      </c>
      <c r="B7" s="819"/>
      <c r="C7" s="240"/>
      <c r="D7" s="295">
        <v>17928</v>
      </c>
      <c r="E7" s="295">
        <v>4099</v>
      </c>
      <c r="F7" s="240"/>
    </row>
    <row r="8" spans="1:6" ht="20.100000000000001" customHeight="1">
      <c r="A8" s="821" t="s">
        <v>559</v>
      </c>
      <c r="B8" s="821"/>
      <c r="C8" s="822"/>
      <c r="D8" s="295">
        <v>12011</v>
      </c>
      <c r="E8" s="295">
        <v>2985</v>
      </c>
      <c r="F8" s="240"/>
    </row>
    <row r="9" spans="1:6" ht="20.100000000000001" customHeight="1">
      <c r="A9" s="819" t="s">
        <v>55</v>
      </c>
      <c r="B9" s="819"/>
      <c r="C9" s="820"/>
      <c r="D9" s="295">
        <v>1291</v>
      </c>
      <c r="E9" s="295">
        <v>420</v>
      </c>
      <c r="F9" s="240"/>
    </row>
    <row r="10" spans="1:6" ht="20.100000000000001" customHeight="1">
      <c r="A10" s="819" t="s">
        <v>56</v>
      </c>
      <c r="B10" s="819"/>
      <c r="C10" s="820"/>
      <c r="D10" s="295">
        <v>1003</v>
      </c>
      <c r="E10" s="295">
        <v>954</v>
      </c>
      <c r="F10" s="240"/>
    </row>
    <row r="11" spans="1:6" ht="20.100000000000001" customHeight="1">
      <c r="A11" s="240"/>
      <c r="B11" s="240"/>
      <c r="C11" s="240"/>
      <c r="D11" s="424"/>
      <c r="E11" s="424"/>
      <c r="F11" s="240"/>
    </row>
    <row r="12" spans="1:6" ht="20.100000000000001" customHeight="1">
      <c r="A12" s="818" t="s">
        <v>57</v>
      </c>
      <c r="B12" s="818"/>
      <c r="C12" s="240"/>
      <c r="D12" s="170"/>
      <c r="E12" s="170"/>
      <c r="F12" s="240"/>
    </row>
    <row r="13" spans="1:6" ht="20.100000000000001" customHeight="1">
      <c r="A13" s="819" t="s">
        <v>503</v>
      </c>
      <c r="B13" s="819"/>
      <c r="C13" s="240"/>
      <c r="D13" s="618">
        <v>6205</v>
      </c>
      <c r="E13" s="618">
        <v>2491</v>
      </c>
      <c r="F13" s="240"/>
    </row>
    <row r="14" spans="1:6" ht="20.100000000000001" customHeight="1">
      <c r="A14" s="819"/>
      <c r="B14" s="819"/>
      <c r="C14" s="240"/>
      <c r="D14" s="295"/>
      <c r="E14" s="295"/>
      <c r="F14" s="240"/>
    </row>
    <row r="15" spans="1:6" ht="20.100000000000001" customHeight="1">
      <c r="A15" s="819" t="s">
        <v>638</v>
      </c>
      <c r="B15" s="819"/>
      <c r="C15" s="240"/>
      <c r="D15" s="618">
        <v>2298</v>
      </c>
      <c r="E15" s="618">
        <v>713</v>
      </c>
      <c r="F15" s="240"/>
    </row>
    <row r="16" spans="1:6" ht="26.45" customHeight="1">
      <c r="A16" s="810" t="s">
        <v>639</v>
      </c>
      <c r="B16" s="810"/>
      <c r="C16" s="810"/>
      <c r="D16" s="295">
        <v>1090</v>
      </c>
      <c r="E16" s="295">
        <v>306</v>
      </c>
      <c r="F16" s="240"/>
    </row>
    <row r="17" spans="1:7" ht="19.5" customHeight="1">
      <c r="A17" s="810" t="s">
        <v>471</v>
      </c>
      <c r="B17" s="810"/>
      <c r="C17" s="614"/>
      <c r="D17" s="295">
        <v>26</v>
      </c>
      <c r="E17" s="295">
        <v>13</v>
      </c>
      <c r="F17" s="240"/>
    </row>
    <row r="18" spans="1:7" ht="20.100000000000001" customHeight="1">
      <c r="A18" s="619" t="s">
        <v>58</v>
      </c>
      <c r="B18" s="619"/>
      <c r="C18" s="240"/>
      <c r="D18" s="295">
        <v>652</v>
      </c>
      <c r="E18" s="295">
        <v>208</v>
      </c>
      <c r="F18" s="240"/>
    </row>
    <row r="19" spans="1:7" ht="20.100000000000001" customHeight="1">
      <c r="A19" s="819" t="s">
        <v>59</v>
      </c>
      <c r="B19" s="819"/>
      <c r="C19" s="820"/>
      <c r="D19" s="295">
        <v>530</v>
      </c>
      <c r="E19" s="295">
        <v>186</v>
      </c>
      <c r="F19" s="240"/>
      <c r="G19" s="235"/>
    </row>
    <row r="20" spans="1:7" ht="20.100000000000001" customHeight="1">
      <c r="A20" s="818"/>
      <c r="B20" s="818"/>
      <c r="C20" s="240"/>
      <c r="D20" s="295"/>
      <c r="E20" s="295"/>
      <c r="F20" s="240"/>
    </row>
    <row r="21" spans="1:7" ht="20.100000000000001" customHeight="1">
      <c r="A21" s="818" t="s">
        <v>60</v>
      </c>
      <c r="B21" s="818"/>
      <c r="C21" s="820"/>
      <c r="D21" s="618">
        <v>7832</v>
      </c>
      <c r="E21" s="618">
        <v>797</v>
      </c>
      <c r="F21" s="240"/>
    </row>
    <row r="22" spans="1:7" ht="20.100000000000001" customHeight="1">
      <c r="A22" s="620"/>
      <c r="B22" s="620"/>
      <c r="C22" s="240"/>
      <c r="D22" s="618"/>
      <c r="E22" s="618"/>
      <c r="F22" s="240"/>
    </row>
    <row r="23" spans="1:7" ht="20.100000000000001" customHeight="1">
      <c r="A23" s="823" t="s">
        <v>640</v>
      </c>
      <c r="B23" s="823"/>
      <c r="C23" s="820"/>
      <c r="D23" s="621">
        <v>6149</v>
      </c>
      <c r="E23" s="621">
        <v>1082</v>
      </c>
      <c r="F23" s="240"/>
    </row>
    <row r="24" spans="1:7" ht="20.100000000000001" customHeight="1">
      <c r="A24" s="819" t="s">
        <v>61</v>
      </c>
      <c r="B24" s="819"/>
      <c r="C24" s="240"/>
      <c r="D24" s="295">
        <v>2177</v>
      </c>
      <c r="E24" s="295">
        <v>441</v>
      </c>
      <c r="F24" s="240"/>
    </row>
    <row r="25" spans="1:7" ht="20.100000000000001" customHeight="1">
      <c r="A25" s="819" t="s">
        <v>62</v>
      </c>
      <c r="B25" s="819"/>
      <c r="C25" s="240"/>
      <c r="D25" s="295">
        <v>2188</v>
      </c>
      <c r="E25" s="295">
        <v>302</v>
      </c>
      <c r="F25" s="240"/>
    </row>
    <row r="26" spans="1:7" ht="20.100000000000001" customHeight="1">
      <c r="A26" s="819" t="s">
        <v>63</v>
      </c>
      <c r="B26" s="819"/>
      <c r="C26" s="820"/>
      <c r="D26" s="295">
        <v>1784</v>
      </c>
      <c r="E26" s="295">
        <v>339</v>
      </c>
      <c r="F26" s="240"/>
    </row>
    <row r="27" spans="1:7" ht="20.100000000000001" customHeight="1">
      <c r="A27" s="821" t="s">
        <v>621</v>
      </c>
      <c r="B27" s="821"/>
      <c r="C27" s="822"/>
      <c r="D27" s="295"/>
      <c r="E27" s="295"/>
      <c r="F27" s="240"/>
    </row>
    <row r="28" spans="1:7" ht="18" customHeight="1">
      <c r="A28" s="819"/>
      <c r="B28" s="819"/>
      <c r="C28" s="240"/>
      <c r="D28" s="295"/>
      <c r="E28" s="295"/>
      <c r="F28" s="240"/>
    </row>
    <row r="29" spans="1:7" ht="18" customHeight="1">
      <c r="A29" s="824" t="s">
        <v>641</v>
      </c>
      <c r="B29" s="824"/>
      <c r="C29" s="824"/>
      <c r="D29" s="618">
        <v>653</v>
      </c>
      <c r="E29" s="618">
        <v>185</v>
      </c>
      <c r="F29" s="240"/>
    </row>
    <row r="30" spans="1:7" ht="18" customHeight="1">
      <c r="A30" s="818" t="s">
        <v>64</v>
      </c>
      <c r="B30" s="818"/>
      <c r="C30" s="240"/>
      <c r="D30" s="618">
        <v>1513</v>
      </c>
      <c r="E30" s="295">
        <v>0</v>
      </c>
      <c r="F30" s="240"/>
    </row>
    <row r="31" spans="1:7" ht="18" customHeight="1">
      <c r="A31" s="818" t="s">
        <v>65</v>
      </c>
      <c r="B31" s="818"/>
      <c r="C31" s="240"/>
      <c r="D31" s="618">
        <v>909</v>
      </c>
      <c r="E31" s="425">
        <v>0</v>
      </c>
      <c r="F31" s="240"/>
    </row>
    <row r="32" spans="1:7" ht="18" customHeight="1">
      <c r="A32" s="622" t="s">
        <v>47</v>
      </c>
      <c r="B32" s="623"/>
      <c r="C32" s="414"/>
      <c r="D32" s="512">
        <f>SUM(D31+D30+D29+D23+D21+D15+D13+D6)</f>
        <v>57792</v>
      </c>
      <c r="E32" s="512">
        <f>SUM(E30+E29+E23+E21+E15+E13+E6)</f>
        <v>13726</v>
      </c>
      <c r="F32" s="240"/>
    </row>
    <row r="33" spans="1:6" ht="15.75">
      <c r="A33" s="304"/>
      <c r="B33" s="304"/>
      <c r="C33" s="304"/>
      <c r="D33" s="198"/>
      <c r="E33" s="198"/>
      <c r="F33" s="240"/>
    </row>
    <row r="34" spans="1:6" ht="18" customHeight="1">
      <c r="A34" s="656" t="s">
        <v>647</v>
      </c>
      <c r="B34" s="305"/>
      <c r="C34" s="305"/>
      <c r="D34" s="305"/>
      <c r="E34" s="305"/>
      <c r="F34" s="305"/>
    </row>
    <row r="35" spans="1:6" ht="14.45" customHeight="1">
      <c r="A35" s="656" t="s">
        <v>66</v>
      </c>
      <c r="B35" s="305"/>
      <c r="C35" s="305"/>
      <c r="D35" s="305"/>
      <c r="E35" s="305"/>
      <c r="F35" s="305"/>
    </row>
    <row r="36" spans="1:6">
      <c r="A36" s="305" t="s">
        <v>648</v>
      </c>
      <c r="B36" s="305"/>
      <c r="C36" s="305"/>
      <c r="D36" s="305"/>
      <c r="E36" s="305"/>
      <c r="F36" s="305"/>
    </row>
    <row r="37" spans="1:6">
      <c r="A37" s="657" t="s">
        <v>649</v>
      </c>
      <c r="B37" s="305"/>
      <c r="C37" s="305"/>
      <c r="D37" s="305"/>
      <c r="E37" s="305"/>
      <c r="F37" s="305"/>
    </row>
    <row r="38" spans="1:6">
      <c r="A38" s="305" t="s">
        <v>14</v>
      </c>
      <c r="B38" s="305"/>
      <c r="C38" s="305"/>
      <c r="D38" s="305"/>
      <c r="E38" s="305"/>
      <c r="F38" s="305"/>
    </row>
  </sheetData>
  <customSheetViews>
    <customSheetView guid="{00BB8FC3-0B7F-4485-B1CD-FF164EC3970C}" fitToPage="1">
      <selection activeCell="A42" sqref="A42"/>
      <pageMargins left="0.7" right="0.7" top="0.78740157499999996" bottom="0.78740157499999996" header="0.3" footer="0.3"/>
      <pageSetup paperSize="9" scale="91" orientation="portrait" r:id="rId1"/>
    </customSheetView>
    <customSheetView guid="{5DDDE19F-F10F-4514-A83C-F71CDD7BE512}" fitToPage="1">
      <selection activeCell="A42" sqref="A42"/>
      <pageMargins left="0.7" right="0.7" top="0.78740157499999996" bottom="0.78740157499999996" header="0.3" footer="0.3"/>
      <pageSetup paperSize="9" scale="91" orientation="portrait" r:id="rId2"/>
    </customSheetView>
    <customSheetView guid="{9A6D0F5E-68D7-4772-8712-9975EE0A4B2C}" fitToPage="1">
      <selection activeCell="E32" sqref="E32"/>
      <pageMargins left="0.7" right="0.7" top="0.78740157499999996" bottom="0.78740157499999996" header="0.3" footer="0.3"/>
      <pageSetup paperSize="9" scale="91" orientation="portrait" r:id="rId3"/>
    </customSheetView>
  </customSheetViews>
  <mergeCells count="25">
    <mergeCell ref="A1:F1"/>
    <mergeCell ref="E4:E5"/>
    <mergeCell ref="A7:B7"/>
    <mergeCell ref="A15:B15"/>
    <mergeCell ref="A14:B14"/>
    <mergeCell ref="A12:B12"/>
    <mergeCell ref="A13:B13"/>
    <mergeCell ref="A8:C8"/>
    <mergeCell ref="A9:C9"/>
    <mergeCell ref="A10:C10"/>
    <mergeCell ref="A6:C6"/>
    <mergeCell ref="A16:C16"/>
    <mergeCell ref="A30:B30"/>
    <mergeCell ref="A20:B20"/>
    <mergeCell ref="A19:C19"/>
    <mergeCell ref="A21:C21"/>
    <mergeCell ref="A23:C23"/>
    <mergeCell ref="A29:C29"/>
    <mergeCell ref="A17:B17"/>
    <mergeCell ref="A31:B31"/>
    <mergeCell ref="A24:B24"/>
    <mergeCell ref="A25:B25"/>
    <mergeCell ref="A28:B28"/>
    <mergeCell ref="A26:C26"/>
    <mergeCell ref="A27:C27"/>
  </mergeCells>
  <pageMargins left="0.7" right="0.7" top="0.78740157499999996" bottom="0.78740157499999996" header="0.3" footer="0.3"/>
  <pageSetup paperSize="9" scale="80" orientation="portrait" r:id="rId4"/>
  <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36"/>
  <sheetViews>
    <sheetView topLeftCell="A11" workbookViewId="0">
      <selection activeCell="G33" sqref="G33"/>
    </sheetView>
  </sheetViews>
  <sheetFormatPr baseColWidth="10" defaultRowHeight="15"/>
  <cols>
    <col min="1" max="1" width="13.42578125" customWidth="1"/>
    <col min="7" max="7" width="9.140625" style="2"/>
  </cols>
  <sheetData>
    <row r="1" spans="1:9" s="36" customFormat="1" ht="39.950000000000003" customHeight="1">
      <c r="A1" s="796" t="s">
        <v>24</v>
      </c>
      <c r="B1" s="796"/>
      <c r="C1" s="64"/>
      <c r="D1" s="64"/>
      <c r="E1" s="64"/>
      <c r="F1" s="64"/>
      <c r="G1" s="64"/>
      <c r="H1" s="64"/>
      <c r="I1" s="64"/>
    </row>
    <row r="2" spans="1:9" ht="15.75">
      <c r="A2" s="25"/>
      <c r="B2" s="26"/>
      <c r="C2" s="26"/>
      <c r="D2" s="228"/>
      <c r="E2" s="228"/>
      <c r="F2" s="170"/>
      <c r="G2" s="170"/>
      <c r="H2" s="10"/>
      <c r="I2" s="10"/>
    </row>
    <row r="3" spans="1:9">
      <c r="A3" s="624" t="s">
        <v>67</v>
      </c>
      <c r="B3" s="5"/>
      <c r="C3" s="5"/>
      <c r="D3" s="10"/>
      <c r="E3" s="10"/>
      <c r="F3" s="170"/>
      <c r="G3" s="170"/>
      <c r="H3" s="10"/>
      <c r="I3" s="10"/>
    </row>
    <row r="4" spans="1:9">
      <c r="A4" s="143" t="s">
        <v>680</v>
      </c>
      <c r="B4" s="143"/>
      <c r="C4" s="10"/>
      <c r="D4" s="10"/>
      <c r="E4" s="10"/>
      <c r="F4" s="240"/>
      <c r="G4" s="240"/>
      <c r="H4" s="10"/>
      <c r="I4" s="10"/>
    </row>
    <row r="5" spans="1:9">
      <c r="A5" s="10"/>
      <c r="B5" s="10"/>
      <c r="C5" s="10"/>
      <c r="D5" s="10"/>
      <c r="E5" s="436" t="s">
        <v>25</v>
      </c>
      <c r="F5" s="10" t="s">
        <v>68</v>
      </c>
      <c r="G5" s="240"/>
      <c r="H5" s="10"/>
      <c r="I5" s="10"/>
    </row>
    <row r="6" spans="1:9">
      <c r="A6" s="10"/>
      <c r="B6" s="10"/>
      <c r="C6" s="10"/>
      <c r="D6" s="10"/>
      <c r="E6" s="436"/>
      <c r="F6" s="10"/>
      <c r="G6" s="240"/>
      <c r="H6" s="10"/>
      <c r="I6" s="10"/>
    </row>
    <row r="7" spans="1:9">
      <c r="A7" s="10" t="s">
        <v>69</v>
      </c>
      <c r="B7" s="10"/>
      <c r="C7" s="10"/>
      <c r="D7" s="10"/>
      <c r="E7" s="464">
        <v>177400</v>
      </c>
      <c r="F7" s="164">
        <v>4119100</v>
      </c>
      <c r="G7" s="361"/>
      <c r="H7" s="10"/>
      <c r="I7" s="10"/>
    </row>
    <row r="8" spans="1:9">
      <c r="A8" s="10" t="s">
        <v>70</v>
      </c>
      <c r="B8" s="10"/>
      <c r="C8" s="10"/>
      <c r="D8" s="10"/>
      <c r="E8" s="464"/>
      <c r="F8" s="164"/>
      <c r="G8" s="361"/>
      <c r="H8" s="10"/>
      <c r="I8" s="10"/>
    </row>
    <row r="9" spans="1:9">
      <c r="A9" s="10" t="s">
        <v>71</v>
      </c>
      <c r="B9" s="5"/>
      <c r="C9" s="10"/>
      <c r="D9" s="10"/>
      <c r="E9" s="464">
        <v>61800</v>
      </c>
      <c r="F9" s="164">
        <v>1572700</v>
      </c>
      <c r="G9" s="361"/>
      <c r="H9" s="10"/>
      <c r="I9" s="10"/>
    </row>
    <row r="10" spans="1:9">
      <c r="A10" s="10" t="s">
        <v>72</v>
      </c>
      <c r="B10" s="10"/>
      <c r="C10" s="10"/>
      <c r="D10" s="10"/>
      <c r="E10" s="464">
        <v>55000</v>
      </c>
      <c r="F10" s="164">
        <v>1257000</v>
      </c>
      <c r="G10" s="361"/>
      <c r="H10" s="10"/>
      <c r="I10" s="10"/>
    </row>
    <row r="11" spans="1:9">
      <c r="A11" s="10" t="s">
        <v>73</v>
      </c>
      <c r="B11" s="10"/>
      <c r="C11" s="10"/>
      <c r="D11" s="10"/>
      <c r="E11" s="464">
        <v>25700</v>
      </c>
      <c r="F11" s="164">
        <v>586000</v>
      </c>
      <c r="G11" s="361"/>
      <c r="H11" s="10"/>
      <c r="I11" s="10"/>
    </row>
    <row r="12" spans="1:9">
      <c r="A12" s="10" t="s">
        <v>74</v>
      </c>
      <c r="B12" s="10"/>
      <c r="C12" s="10"/>
      <c r="D12" s="10"/>
      <c r="E12" s="464">
        <v>23500</v>
      </c>
      <c r="F12" s="164">
        <v>459100</v>
      </c>
      <c r="G12" s="361"/>
      <c r="H12" s="10"/>
      <c r="I12" s="10"/>
    </row>
    <row r="13" spans="1:9">
      <c r="A13" s="10" t="s">
        <v>75</v>
      </c>
      <c r="B13" s="10"/>
      <c r="C13" s="10"/>
      <c r="D13" s="10"/>
      <c r="E13" s="464">
        <v>11500</v>
      </c>
      <c r="F13" s="164">
        <v>244200</v>
      </c>
      <c r="G13" s="361"/>
      <c r="H13" s="10"/>
      <c r="I13" s="10"/>
    </row>
    <row r="14" spans="1:9">
      <c r="A14" s="10" t="s">
        <v>76</v>
      </c>
      <c r="B14" s="10"/>
      <c r="C14" s="10"/>
      <c r="D14" s="10"/>
      <c r="E14" s="706">
        <v>2.27</v>
      </c>
      <c r="F14" s="625">
        <v>2.1800000000000002</v>
      </c>
      <c r="G14" s="626"/>
      <c r="H14" s="10"/>
      <c r="I14" s="10"/>
    </row>
    <row r="15" spans="1:9">
      <c r="A15" s="10"/>
      <c r="B15" s="10"/>
      <c r="C15" s="10"/>
      <c r="D15" s="10"/>
      <c r="E15" s="627"/>
      <c r="F15" s="628"/>
      <c r="G15" s="626"/>
      <c r="H15" s="10"/>
      <c r="I15" s="10"/>
    </row>
    <row r="16" spans="1:9">
      <c r="A16" s="172" t="s">
        <v>77</v>
      </c>
      <c r="B16" s="33"/>
      <c r="C16" s="33"/>
      <c r="D16" s="33"/>
      <c r="E16" s="33"/>
      <c r="F16" s="33"/>
      <c r="G16" s="102"/>
      <c r="H16" s="33"/>
      <c r="I16" s="10"/>
    </row>
    <row r="17" spans="1:30">
      <c r="A17" s="33"/>
      <c r="B17" s="33"/>
      <c r="E17" s="33"/>
      <c r="F17" s="33"/>
      <c r="G17" s="102"/>
      <c r="H17" s="33"/>
      <c r="I17" s="10"/>
    </row>
    <row r="18" spans="1:30">
      <c r="A18" s="172" t="s">
        <v>0</v>
      </c>
      <c r="B18" s="33"/>
      <c r="E18" s="33"/>
      <c r="F18" s="33"/>
      <c r="G18" s="102"/>
      <c r="H18" s="33"/>
      <c r="I18" s="10"/>
      <c r="AC18" s="33"/>
      <c r="AD18" s="33"/>
    </row>
    <row r="19" spans="1:30">
      <c r="A19" s="33"/>
      <c r="B19" s="33"/>
      <c r="C19" s="33"/>
      <c r="D19" s="33"/>
      <c r="E19" s="33"/>
      <c r="F19" s="33"/>
      <c r="G19" s="102"/>
      <c r="H19" s="33"/>
      <c r="I19" s="10"/>
      <c r="AC19" s="33"/>
      <c r="AD19" s="33"/>
    </row>
    <row r="20" spans="1:30">
      <c r="A20" s="143" t="s">
        <v>78</v>
      </c>
      <c r="B20" s="143"/>
      <c r="C20" s="33"/>
      <c r="D20" s="33"/>
      <c r="E20" s="33"/>
      <c r="F20" s="33"/>
      <c r="G20" s="102"/>
      <c r="H20" s="33"/>
      <c r="I20" s="10"/>
    </row>
    <row r="21" spans="1:30">
      <c r="A21" s="33"/>
      <c r="B21" s="33"/>
      <c r="C21" s="33"/>
      <c r="D21" s="33"/>
      <c r="E21" s="33"/>
      <c r="F21" s="33"/>
      <c r="G21" s="102"/>
      <c r="H21" s="33"/>
      <c r="I21" s="308"/>
      <c r="J21" s="130"/>
      <c r="K21" s="130"/>
    </row>
    <row r="22" spans="1:30">
      <c r="A22" s="434" t="s">
        <v>79</v>
      </c>
      <c r="B22" s="435" t="s">
        <v>80</v>
      </c>
      <c r="C22" s="435" t="s">
        <v>81</v>
      </c>
      <c r="D22" s="435" t="s">
        <v>82</v>
      </c>
      <c r="E22" s="435" t="s">
        <v>83</v>
      </c>
      <c r="F22" s="435" t="s">
        <v>84</v>
      </c>
      <c r="G22" s="435" t="s">
        <v>320</v>
      </c>
      <c r="H22" s="435" t="s">
        <v>85</v>
      </c>
      <c r="I22" s="10"/>
    </row>
    <row r="23" spans="1:30">
      <c r="A23" s="143" t="s">
        <v>41</v>
      </c>
      <c r="B23" s="209">
        <v>32150</v>
      </c>
      <c r="C23" s="209">
        <v>13432</v>
      </c>
      <c r="D23" s="209">
        <v>3356</v>
      </c>
      <c r="E23" s="209">
        <v>9568</v>
      </c>
      <c r="F23" s="209">
        <v>2737</v>
      </c>
      <c r="G23" s="209">
        <v>2329</v>
      </c>
      <c r="H23" s="209">
        <v>728</v>
      </c>
      <c r="I23" s="10"/>
    </row>
    <row r="24" spans="1:30">
      <c r="A24" s="143" t="s">
        <v>35</v>
      </c>
      <c r="B24" s="209">
        <v>62566</v>
      </c>
      <c r="C24" s="209">
        <v>25394</v>
      </c>
      <c r="D24" s="209">
        <v>5387</v>
      </c>
      <c r="E24" s="209">
        <v>16353</v>
      </c>
      <c r="F24" s="209">
        <v>7659</v>
      </c>
      <c r="G24" s="209">
        <v>5777</v>
      </c>
      <c r="H24" s="209">
        <v>1996</v>
      </c>
      <c r="I24" s="10"/>
    </row>
    <row r="25" spans="1:30">
      <c r="A25" s="143" t="s">
        <v>31</v>
      </c>
      <c r="B25" s="209">
        <v>38557</v>
      </c>
      <c r="C25" s="209">
        <v>12407</v>
      </c>
      <c r="D25" s="209">
        <v>3799</v>
      </c>
      <c r="E25" s="209">
        <v>11516</v>
      </c>
      <c r="F25" s="209">
        <v>5548</v>
      </c>
      <c r="G25" s="209">
        <v>3739</v>
      </c>
      <c r="H25" s="209">
        <v>1548</v>
      </c>
      <c r="I25" s="10"/>
    </row>
    <row r="26" spans="1:30">
      <c r="A26" s="143" t="s">
        <v>33</v>
      </c>
      <c r="B26" s="209">
        <v>51147</v>
      </c>
      <c r="C26" s="209">
        <v>19405</v>
      </c>
      <c r="D26" s="209">
        <v>4171</v>
      </c>
      <c r="E26" s="209">
        <v>14202</v>
      </c>
      <c r="F26" s="209">
        <v>6982</v>
      </c>
      <c r="G26" s="209">
        <v>4632</v>
      </c>
      <c r="H26" s="209">
        <v>1755</v>
      </c>
      <c r="I26" s="10"/>
    </row>
    <row r="27" spans="1:30">
      <c r="A27" s="436" t="s">
        <v>25</v>
      </c>
      <c r="B27" s="437">
        <v>184420</v>
      </c>
      <c r="C27" s="437">
        <v>70638</v>
      </c>
      <c r="D27" s="437">
        <v>16713</v>
      </c>
      <c r="E27" s="437">
        <v>51639</v>
      </c>
      <c r="F27" s="437">
        <v>22926</v>
      </c>
      <c r="G27" s="437">
        <v>16477</v>
      </c>
      <c r="H27" s="437">
        <v>6027</v>
      </c>
      <c r="I27" s="10"/>
    </row>
    <row r="28" spans="1:30">
      <c r="A28" s="410"/>
      <c r="B28" s="438">
        <v>1</v>
      </c>
      <c r="C28" s="438">
        <f>C27*100/B27/100</f>
        <v>0.38302787116364817</v>
      </c>
      <c r="D28" s="438">
        <f>D27*100/B27/100</f>
        <v>9.0624661099663814E-2</v>
      </c>
      <c r="E28" s="438">
        <f>E27*100/B27/100</f>
        <v>0.28000759136753062</v>
      </c>
      <c r="F28" s="438">
        <f>F27*100/B27/100</f>
        <v>0.1243140657195532</v>
      </c>
      <c r="G28" s="438">
        <f>G27*100/B27/100</f>
        <v>8.9344973430213651E-2</v>
      </c>
      <c r="H28" s="438">
        <f>H27*100/B27/100</f>
        <v>3.2680837219390517E-2</v>
      </c>
      <c r="I28" s="10"/>
    </row>
    <row r="29" spans="1:30">
      <c r="A29" s="33"/>
      <c r="B29" s="133"/>
      <c r="C29" s="133"/>
      <c r="D29" s="133"/>
      <c r="E29" s="133"/>
      <c r="F29" s="133"/>
      <c r="G29" s="134"/>
      <c r="H29" s="135"/>
      <c r="I29" s="10"/>
    </row>
    <row r="30" spans="1:30">
      <c r="A30" s="33"/>
      <c r="B30" s="133"/>
      <c r="C30" s="133"/>
      <c r="D30" s="133"/>
      <c r="E30" s="133"/>
      <c r="F30" s="133"/>
      <c r="G30" s="134"/>
      <c r="H30" s="135"/>
      <c r="I30" s="10"/>
    </row>
    <row r="31" spans="1:30">
      <c r="A31" s="436" t="s">
        <v>750</v>
      </c>
      <c r="B31" s="513">
        <v>36</v>
      </c>
      <c r="C31" s="513">
        <v>15</v>
      </c>
      <c r="D31" s="513">
        <v>3</v>
      </c>
      <c r="E31" s="513">
        <v>11</v>
      </c>
      <c r="F31" s="513">
        <v>4</v>
      </c>
      <c r="G31" s="514">
        <v>3</v>
      </c>
      <c r="H31" s="515">
        <f>-H457</f>
        <v>0</v>
      </c>
      <c r="I31" s="10"/>
    </row>
    <row r="32" spans="1:30">
      <c r="A32" s="94"/>
      <c r="B32" s="131"/>
      <c r="C32" s="131"/>
      <c r="D32" s="131"/>
      <c r="E32" s="131"/>
      <c r="F32" s="131"/>
      <c r="G32" s="91"/>
      <c r="H32" s="132"/>
      <c r="I32" s="10"/>
    </row>
    <row r="33" spans="1:9">
      <c r="A33" s="5" t="s">
        <v>537</v>
      </c>
      <c r="B33" s="306">
        <v>36</v>
      </c>
      <c r="C33" s="306">
        <v>17</v>
      </c>
      <c r="D33" s="306">
        <v>4</v>
      </c>
      <c r="E33" s="306">
        <v>5</v>
      </c>
      <c r="F33" s="306">
        <v>7</v>
      </c>
      <c r="G33" s="615">
        <v>3</v>
      </c>
      <c r="H33" s="306">
        <v>0</v>
      </c>
      <c r="I33" s="10"/>
    </row>
    <row r="34" spans="1:9">
      <c r="A34" s="5"/>
      <c r="B34" s="306"/>
      <c r="C34" s="306"/>
      <c r="D34" s="306"/>
      <c r="E34" s="306"/>
      <c r="F34" s="306"/>
      <c r="G34" s="307"/>
      <c r="H34" s="10"/>
      <c r="I34" s="10"/>
    </row>
    <row r="35" spans="1:9">
      <c r="A35" s="658" t="s">
        <v>751</v>
      </c>
      <c r="B35" s="659"/>
      <c r="C35" s="659"/>
      <c r="D35" s="659"/>
      <c r="E35" s="306"/>
      <c r="F35" s="306"/>
      <c r="G35" s="307"/>
      <c r="H35" s="10"/>
      <c r="I35" s="10"/>
    </row>
    <row r="36" spans="1:9">
      <c r="A36" s="305" t="s">
        <v>255</v>
      </c>
      <c r="B36" s="305"/>
      <c r="C36" s="305"/>
      <c r="D36" s="305"/>
      <c r="E36" s="240"/>
      <c r="F36" s="240"/>
      <c r="G36" s="240"/>
      <c r="H36" s="10"/>
      <c r="I36" s="10"/>
    </row>
  </sheetData>
  <customSheetViews>
    <customSheetView guid="{00BB8FC3-0B7F-4485-B1CD-FF164EC3970C}" fitToPage="1">
      <selection activeCell="F18" sqref="F18"/>
      <pageMargins left="0.70866141732283472" right="0.70866141732283472" top="0.78740157480314965" bottom="0.78740157480314965" header="0.31496062992125984" footer="0.31496062992125984"/>
      <pageSetup paperSize="9" scale="95" fitToHeight="0" orientation="portrait" cellComments="asDisplayed" r:id="rId1"/>
    </customSheetView>
    <customSheetView guid="{5DDDE19F-F10F-4514-A83C-F71CDD7BE512}" fitToPage="1">
      <selection activeCell="F18" sqref="F18"/>
      <pageMargins left="0.70866141732283472" right="0.70866141732283472" top="0.78740157480314965" bottom="0.78740157480314965" header="0.31496062992125984" footer="0.31496062992125984"/>
      <pageSetup paperSize="9" scale="95" fitToHeight="0" orientation="portrait" cellComments="asDisplayed" r:id="rId2"/>
    </customSheetView>
    <customSheetView guid="{9A6D0F5E-68D7-4772-8712-9975EE0A4B2C}" fitToPage="1">
      <selection activeCell="F18" sqref="F18"/>
      <pageMargins left="0.70866141732283472" right="0.70866141732283472" top="0.78740157480314965" bottom="0.78740157480314965" header="0.31496062992125984" footer="0.31496062992125984"/>
      <pageSetup paperSize="9" scale="95" fitToHeight="0" orientation="portrait" cellComments="asDisplayed" r:id="rId3"/>
    </customSheetView>
  </customSheetViews>
  <mergeCells count="1">
    <mergeCell ref="A1:B1"/>
  </mergeCells>
  <pageMargins left="0.70866141732283472" right="0.70866141732283472" top="0.78740157480314965" bottom="0.78740157480314965" header="0.31496062992125984" footer="0.31496062992125984"/>
  <pageSetup paperSize="9" scale="69" fitToHeight="0" orientation="portrait" cellComments="asDisplayed" r:id="rId4"/>
  <drawing r:id="rId5"/>
  <legacy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46</vt:i4>
      </vt:variant>
    </vt:vector>
  </HeadingPairs>
  <TitlesOfParts>
    <vt:vector size="46" baseType="lpstr">
      <vt:lpstr>Titelseite</vt:lpstr>
      <vt:lpstr>Zum Inhalt</vt:lpstr>
      <vt:lpstr>Kurzprofil Vorarlberg</vt:lpstr>
      <vt:lpstr>Landesfläche</vt:lpstr>
      <vt:lpstr>Bevölkerung</vt:lpstr>
      <vt:lpstr>Beschäftigte u Grenzgänger</vt:lpstr>
      <vt:lpstr>Erwerbstätige n Alter</vt:lpstr>
      <vt:lpstr>Schulbesuch</vt:lpstr>
      <vt:lpstr>Haushalte u Landtagswahlen</vt:lpstr>
      <vt:lpstr>Steuern, Abgaben, Landesbudget</vt:lpstr>
      <vt:lpstr>Arbeitskosten, Preisindizes</vt:lpstr>
      <vt:lpstr>Entwicklung Kammermitglieder</vt:lpstr>
      <vt:lpstr>Kammermitglieder Sparten, FG</vt:lpstr>
      <vt:lpstr>Arbeitsstätten, Beschäftigte</vt:lpstr>
      <vt:lpstr>Graf Kammermitglieder, Besch</vt:lpstr>
      <vt:lpstr>Besch gewerbl Wirtschaft</vt:lpstr>
      <vt:lpstr>Größenkl GWH, Industrie</vt:lpstr>
      <vt:lpstr>Größenkl Handel, Bank, Versich</vt:lpstr>
      <vt:lpstr>Größenkl Trans, Verkehr, Touris</vt:lpstr>
      <vt:lpstr>Größenkl IC, Überblick</vt:lpstr>
      <vt:lpstr>Reg Besch gew Wirtschaft</vt:lpstr>
      <vt:lpstr>WKMitglieder Bezirke u Rechtsfo</vt:lpstr>
      <vt:lpstr>Unternehmensneugründungen</vt:lpstr>
      <vt:lpstr>Bruttoregionalprodukt</vt:lpstr>
      <vt:lpstr>Bruttoreginalprod je EW</vt:lpstr>
      <vt:lpstr>Reale Bruttowertschöpfung</vt:lpstr>
      <vt:lpstr>Nominelle Bruttowertschöpfung</vt:lpstr>
      <vt:lpstr>Sachgüterproduktion</vt:lpstr>
      <vt:lpstr>Sachgüterproduktion je EW</vt:lpstr>
      <vt:lpstr> Industrieproduktion</vt:lpstr>
      <vt:lpstr>Industriebesch Bdl je 1000 EW</vt:lpstr>
      <vt:lpstr>Gewerbeproduktion</vt:lpstr>
      <vt:lpstr>Gebäude u. Wohnbautätigkeit</vt:lpstr>
      <vt:lpstr>Handel</vt:lpstr>
      <vt:lpstr>Entwicklung Kaufkraft</vt:lpstr>
      <vt:lpstr>Tourismus</vt:lpstr>
      <vt:lpstr>Ankünfte Nächtigungen Regionen</vt:lpstr>
      <vt:lpstr> Verkehr Bestand Vlb</vt:lpstr>
      <vt:lpstr>Verkehr LKW, Seilbahnen</vt:lpstr>
      <vt:lpstr>Entwicklung Außenhandel</vt:lpstr>
      <vt:lpstr>Exporte WRäumen u WGruppen</vt:lpstr>
      <vt:lpstr>Energieverbrauch Energieträger</vt:lpstr>
      <vt:lpstr>E-Verbrauch Anteile Energieträg</vt:lpstr>
      <vt:lpstr>Überblick</vt:lpstr>
      <vt:lpstr>MT4</vt:lpstr>
      <vt:lpstr>MT7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dc:creator>
  <cp:lastModifiedBy>Mitterlechner Thomas, Mag. WKV Statistik</cp:lastModifiedBy>
  <cp:lastPrinted>2024-08-29T06:48:09Z</cp:lastPrinted>
  <dcterms:created xsi:type="dcterms:W3CDTF">2012-10-26T22:35:14Z</dcterms:created>
  <dcterms:modified xsi:type="dcterms:W3CDTF">2024-10-22T09:54:12Z</dcterms:modified>
</cp:coreProperties>
</file>