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mc:AlternateContent xmlns:mc="http://schemas.openxmlformats.org/markup-compatibility/2006">
    <mc:Choice Requires="x15">
      <x15ac:absPath xmlns:x15ac="http://schemas.microsoft.com/office/spreadsheetml/2010/11/ac" url="Y:\Daten\Dashboards\xlsx\Außenhandel\Waren\"/>
    </mc:Choice>
  </mc:AlternateContent>
  <xr:revisionPtr revIDLastSave="0" documentId="13_ncr:1_{68623BCB-325E-4A2B-9197-FF97C7CC3DB2}" xr6:coauthVersionLast="47" xr6:coauthVersionMax="47" xr10:uidLastSave="{00000000-0000-0000-0000-000000000000}"/>
  <bookViews>
    <workbookView xWindow="-110" yWindow="-110" windowWidth="19420" windowHeight="10420" tabRatio="757" xr2:uid="{00000000-000D-0000-FFFF-FFFF00000000}"/>
  </bookViews>
  <sheets>
    <sheet name="Dashboard" sheetId="19" r:id="rId1"/>
    <sheet name="Export" sheetId="17" state="veryHidden" r:id="rId2"/>
    <sheet name="Import" sheetId="18" state="veryHidden" r:id="rId3"/>
    <sheet name="Absolut_Grafik_1_2" sheetId="20" state="veryHidden" r:id="rId4"/>
    <sheet name="Top10_Export_Import" sheetId="21" state="veryHidden" r:id="rId5"/>
    <sheet name="Dropdown" sheetId="5" state="veryHidden" r:id="rId6"/>
    <sheet name="Texte" sheetId="22" state="veryHidden" r:id="rId7"/>
  </sheets>
  <definedNames>
    <definedName name="Abfrage_von_MS_Access_Database" localSheetId="5" hidden="1">Dropdown!$A$2:$B$259</definedName>
    <definedName name="Abfrage_von_MS_Access_Database" localSheetId="1" hidden="1">Export!$B$1:$B$264</definedName>
    <definedName name="Abfrage_von_MS_Access_Database" localSheetId="2" hidden="1">Import!$B$1:$B$264</definedName>
    <definedName name="Abfrage_von_MS_Access_Database_1" localSheetId="5" hidden="1">Dropdown!$H$2:$H$48</definedName>
    <definedName name="Abfrage_von_MS_Access_Database_2" localSheetId="5" hidden="1">Dropdown!$M$2:$M$43</definedName>
    <definedName name="Außenhandelspartner">Dropdown!$E$3</definedName>
    <definedName name="Auswahl_Jahr">Dropdown!$J$3</definedName>
    <definedName name="Basis_Jahr">Dropdown!$O$3</definedName>
    <definedName name="BIS">Absolut_Grafik_1_2!$A$23</definedName>
    <definedName name="Diagramm_Absolut_Exporte">OFFSET(Absolut_Grafik_1_2!$E$6,,Absolut_Grafik_1_2!$A$3-Absolut_Grafik_1_2!$E$1,,Absolut_Grafik_1_2!$A$4-Absolut_Grafik_1_2!$A$3+1)</definedName>
    <definedName name="Diagramm_Absolut_Importe">OFFSET(Absolut_Grafik_1_2!$E$17,,Absolut_Grafik_1_2!$A$3-Absolut_Grafik_1_2!$E$1,,Absolut_Grafik_1_2!$A$4-Absolut_Grafik_1_2!$A$3+1)</definedName>
    <definedName name="Diagramm_Absolut_Jahreszahlen">OFFSET(Absolut_Grafik_1_2!$E$2,,Absolut_Grafik_1_2!$A$3-Absolut_Grafik_1_2!$E$1,,Absolut_Grafik_1_2!$A$4-Absolut_Grafik_1_2!$A$3+1)</definedName>
    <definedName name="Diagramm_Index_Exporte_AHP">OFFSET(Absolut_Grafik_1_2!$E$8,,Absolut_Grafik_1_2!$A$3-Absolut_Grafik_1_2!$E$1,,Absolut_Grafik_1_2!$A$4-Absolut_Grafik_1_2!$A$3+1)</definedName>
    <definedName name="Diagramm_Index_Exporte_Welt_ohne_AHP">OFFSET(Absolut_Grafik_1_2!$E$9,,Absolut_Grafik_1_2!$A$3-Absolut_Grafik_1_2!$E$1,,Absolut_Grafik_1_2!$A$4-Absolut_Grafik_1_2!$A$3+1)</definedName>
    <definedName name="Diagramm_Index_Importe_AHP">OFFSET(Absolut_Grafik_1_2!$E$19,,Absolut_Grafik_1_2!$A$3-Absolut_Grafik_1_2!$E$1,,Absolut_Grafik_1_2!$A$4-Absolut_Grafik_1_2!$A$3+1)</definedName>
    <definedName name="Diagramm_Index_Importe_Welt_ohne_AHP">OFFSET(Absolut_Grafik_1_2!$E$20,,Absolut_Grafik_1_2!$A$3-Absolut_Grafik_1_2!$E$1,,Absolut_Grafik_1_2!$A$4-Absolut_Grafik_1_2!$A$3+1)</definedName>
    <definedName name="Diagramm_Index_Jahreszahlen_Export">OFFSET(Absolut_Grafik_1_2!$E$2,,Absolut_Grafik_1_2!$A$3-Absolut_Grafik_1_2!$E$1,,Absolut_Grafik_1_2!$A$4-Absolut_Grafik_1_2!$A$3+1)</definedName>
    <definedName name="Diagramm_Index_Jahreszahlen_Import">OFFSET(Absolut_Grafik_1_2!$E$12,,Absolut_Grafik_1_2!$A$3-Absolut_Grafik_1_2!$E$1,,Absolut_Grafik_1_2!$A$4-Absolut_Grafik_1_2!$A$3+1)</definedName>
    <definedName name="Diagramm_Veraend_Exporte">OFFSET(Absolut_Grafik_1_2!$E$7,,Absolut_Grafik_1_2!$A$3-Absolut_Grafik_1_2!$E$1+1,,Absolut_Grafik_1_2!$A$4-Absolut_Grafik_1_2!$A$3)</definedName>
    <definedName name="Diagramm_Veraend_Importe">OFFSET(Absolut_Grafik_1_2!$E$18,,Absolut_Grafik_1_2!$A$3-Absolut_Grafik_1_2!$E$1+1,,Absolut_Grafik_1_2!$A$4-Absolut_Grafik_1_2!$A$3)</definedName>
    <definedName name="Diagramm_Veraend_Jahreszahlen">OFFSET(Absolut_Grafik_1_2!$E$2,,Absolut_Grafik_1_2!$A$3-Absolut_Grafik_1_2!$E$1+1,,Absolut_Grafik_1_2!$A$4-Absolut_Grafik_1_2!$A$3)</definedName>
    <definedName name="_xlnm.Print_Area" localSheetId="0">Dashboard!$A$1:$L$78</definedName>
    <definedName name="Einheit_Text">Dropdown!$S$2</definedName>
    <definedName name="Einheit_Wert">Dropdown!$T$2</definedName>
    <definedName name="Export_Basis_Jahr">Absolut_Grafik_1_2!$B$25:$C$73</definedName>
    <definedName name="Export_Jahreszahlen">Absolut_Grafik_1_2!$E$2:$AX$2</definedName>
    <definedName name="Export_Matrix">Tabelle_Abfrage_von_MS_Access_Database[[#All],[Partnerland]:[2023]]</definedName>
    <definedName name="Export_Partnerland">Top10_Export_Import!$C$3:$C$264</definedName>
    <definedName name="Export_Ranking">Top10_Export_Import!$A$3:$A$260</definedName>
    <definedName name="Export_Spaltenindex">Absolut_Grafik_1_2!$E$1:$AX$1</definedName>
    <definedName name="Import_Basis_Jahr">Absolut_Grafik_1_2!$G$25:$H$73</definedName>
    <definedName name="Import_Jahreszahlen">Absolut_Grafik_1_2!$E$12:$AX$12</definedName>
    <definedName name="Import_Matrix">Tabelle_Abfrage_von_MS_Access_Database3[[#All],[Partnerland]:[2023]]</definedName>
    <definedName name="Import_Partnerland">Top10_Export_Import!$G$3:$G$264</definedName>
    <definedName name="Import_Ranking">Top10_Export_Import!$E$3:$E$260</definedName>
    <definedName name="Import_Spaltenindex">Absolut_Grafik_1_2!$E$11:$AX$11</definedName>
    <definedName name="Kartentitel_absolut">Dropdown!$R$5</definedName>
    <definedName name="Kartentitel_Exportentwicklung">Dropdown!$R$14</definedName>
    <definedName name="Kartentitel_Importentwicklung">Dropdown!$R$17</definedName>
    <definedName name="Kartentitel_Veränderung">Dropdown!$R$11</definedName>
    <definedName name="Land_Wert" comment="Da das Kombinationsfeld auf einen Wert wartet, wird dieser Bereich als Land_Wert definiert">Tabelle_Abfrage_von_MS_Access_Database4[Wert]</definedName>
    <definedName name="Max_Jahr">Absolut_Grafik_1_2!$B$28:$B$1048576</definedName>
    <definedName name="Metadata1">Dropdown!$R$20</definedName>
    <definedName name="Metadata2">Dropdown!$R$21</definedName>
    <definedName name="Metadata3">Dropdown!$R$22</definedName>
    <definedName name="Metadata4">Dropdown!$R$23</definedName>
    <definedName name="Metadata5">Dropdown!$R$24</definedName>
    <definedName name="Metadata6">Dropdown!$R$25</definedName>
    <definedName name="Sparklines_Export">OFFSET(Top10_Export_Import!$N$3,,Absolut_Grafik_1_2!$A$3-Absolut_Grafik_1_2!$E$1,12,Absolut_Grafik_1_2!$A$4-Absolut_Grafik_1_2!$A$3+1)</definedName>
    <definedName name="Sparklines_Import">OFFSET(Top10_Export_Import!$N$18,,Absolut_Grafik_1_2!$A$3-Absolut_Grafik_1_2!$E$1,12,Absolut_Grafik_1_2!$A$4-Absolut_Grafik_1_2!$A$3+1)</definedName>
    <definedName name="VON">Absolut_Grafik_1_2!$C$3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17" i="21" l="1"/>
  <c r="BG2" i="21"/>
  <c r="B73" i="20"/>
  <c r="G73" i="20"/>
  <c r="AX12" i="20"/>
  <c r="AX2" i="20"/>
  <c r="C73" i="20"/>
  <c r="H73" i="20"/>
  <c r="BF17" i="21"/>
  <c r="BF2" i="21"/>
  <c r="AW12" i="20"/>
  <c r="AW2" i="20"/>
  <c r="G72" i="20"/>
  <c r="B72" i="20"/>
  <c r="C72" i="20"/>
  <c r="H72" i="20"/>
  <c r="BE17" i="21"/>
  <c r="BE2" i="21"/>
  <c r="AV12" i="20"/>
  <c r="AV2" i="20"/>
  <c r="G71" i="20"/>
  <c r="B71" i="20"/>
  <c r="C71" i="20"/>
  <c r="H71" i="20"/>
  <c r="BD17" i="21"/>
  <c r="BD2" i="21"/>
  <c r="AU12" i="20"/>
  <c r="AU2" i="20"/>
  <c r="G70" i="20"/>
  <c r="B70" i="20"/>
  <c r="C70" i="20"/>
  <c r="H70" i="20"/>
  <c r="B264"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144" i="18"/>
  <c r="B145" i="18"/>
  <c r="B146" i="18"/>
  <c r="B147" i="18"/>
  <c r="B148" i="18"/>
  <c r="B149" i="18"/>
  <c r="B150" i="18"/>
  <c r="B151" i="18"/>
  <c r="B152" i="18"/>
  <c r="B153" i="18"/>
  <c r="B154" i="18"/>
  <c r="B155" i="18"/>
  <c r="B156" i="18"/>
  <c r="B157" i="18"/>
  <c r="B158" i="18"/>
  <c r="B159" i="18"/>
  <c r="B160" i="18"/>
  <c r="B161" i="18"/>
  <c r="B162" i="18"/>
  <c r="B163" i="18"/>
  <c r="B164" i="18"/>
  <c r="B165" i="18"/>
  <c r="B166" i="18"/>
  <c r="B167" i="18"/>
  <c r="B168" i="18"/>
  <c r="B169" i="18"/>
  <c r="B170" i="18"/>
  <c r="B171" i="18"/>
  <c r="B172" i="18"/>
  <c r="B173" i="18"/>
  <c r="B174" i="18"/>
  <c r="B175" i="18"/>
  <c r="B176" i="18"/>
  <c r="B177" i="18"/>
  <c r="B178" i="18"/>
  <c r="B179" i="18"/>
  <c r="B180" i="18"/>
  <c r="B181" i="18"/>
  <c r="B182" i="18"/>
  <c r="B183" i="18"/>
  <c r="B184" i="18"/>
  <c r="B185" i="18"/>
  <c r="B186" i="18"/>
  <c r="B187" i="18"/>
  <c r="B188" i="18"/>
  <c r="B189" i="18"/>
  <c r="B190" i="18"/>
  <c r="B191" i="18"/>
  <c r="B192" i="18"/>
  <c r="B193" i="18"/>
  <c r="B194" i="18"/>
  <c r="B195" i="18"/>
  <c r="B196" i="18"/>
  <c r="B197" i="18"/>
  <c r="B198" i="18"/>
  <c r="B199" i="18"/>
  <c r="B200" i="18"/>
  <c r="B201" i="18"/>
  <c r="B202" i="18"/>
  <c r="B203" i="18"/>
  <c r="B204" i="18"/>
  <c r="B205" i="18"/>
  <c r="B206" i="18"/>
  <c r="B207" i="18"/>
  <c r="B208" i="18"/>
  <c r="B209" i="18"/>
  <c r="B210" i="18"/>
  <c r="B211" i="18"/>
  <c r="B212" i="18"/>
  <c r="B213" i="18"/>
  <c r="B214" i="18"/>
  <c r="B215" i="18"/>
  <c r="B216" i="18"/>
  <c r="B217" i="18"/>
  <c r="B218" i="18"/>
  <c r="B219" i="18"/>
  <c r="B220" i="18"/>
  <c r="B221" i="18"/>
  <c r="B222" i="18"/>
  <c r="B223" i="18"/>
  <c r="B224" i="18"/>
  <c r="B225" i="18"/>
  <c r="B226" i="18"/>
  <c r="B227" i="18"/>
  <c r="B228" i="18"/>
  <c r="B229" i="18"/>
  <c r="B230" i="18"/>
  <c r="B231" i="18"/>
  <c r="B232" i="18"/>
  <c r="B233" i="18"/>
  <c r="B234" i="18"/>
  <c r="B235" i="18"/>
  <c r="B236" i="18"/>
  <c r="B237" i="18"/>
  <c r="B238" i="18"/>
  <c r="B239" i="18"/>
  <c r="B240" i="18"/>
  <c r="B241" i="18"/>
  <c r="B242" i="18"/>
  <c r="B243" i="18"/>
  <c r="B244" i="18"/>
  <c r="B245" i="18"/>
  <c r="B246" i="18"/>
  <c r="B247" i="18"/>
  <c r="B248" i="18"/>
  <c r="B249" i="18"/>
  <c r="B250" i="18"/>
  <c r="B251" i="18"/>
  <c r="B252" i="18"/>
  <c r="B253" i="18"/>
  <c r="B254" i="18"/>
  <c r="B255" i="18"/>
  <c r="B256" i="18"/>
  <c r="B257" i="18"/>
  <c r="B258" i="18"/>
  <c r="B259" i="18"/>
  <c r="B2" i="18"/>
  <c r="B264" i="17"/>
  <c r="B3" i="17"/>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 i="17"/>
  <c r="BC17" i="21"/>
  <c r="BC2" i="21"/>
  <c r="G69" i="20"/>
  <c r="B69" i="20"/>
  <c r="C69" i="20"/>
  <c r="H69" i="20"/>
  <c r="AT12" i="20"/>
  <c r="AT2" i="20"/>
  <c r="E72" i="5" l="1"/>
  <c r="E71" i="5"/>
  <c r="BB17" i="21" l="1"/>
  <c r="BB2" i="21"/>
  <c r="G68" i="20"/>
  <c r="B68" i="20"/>
  <c r="AS12" i="20"/>
  <c r="AS2" i="20"/>
  <c r="C68" i="20"/>
  <c r="H68" i="20"/>
  <c r="B4" i="21" l="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151" i="21"/>
  <c r="B152" i="21"/>
  <c r="B153" i="21"/>
  <c r="B154" i="21"/>
  <c r="B155" i="21"/>
  <c r="B156" i="21"/>
  <c r="B157" i="21"/>
  <c r="B158" i="21"/>
  <c r="B159" i="21"/>
  <c r="B160" i="21"/>
  <c r="B161" i="21"/>
  <c r="B162" i="21"/>
  <c r="B163" i="21"/>
  <c r="B164" i="21"/>
  <c r="B165" i="21"/>
  <c r="B166" i="21"/>
  <c r="B167" i="21"/>
  <c r="B168" i="21"/>
  <c r="B169" i="21"/>
  <c r="B170" i="21"/>
  <c r="B171" i="21"/>
  <c r="B172" i="21"/>
  <c r="B173" i="21"/>
  <c r="B174" i="21"/>
  <c r="B175" i="21"/>
  <c r="B176" i="21"/>
  <c r="B177" i="21"/>
  <c r="B178" i="21"/>
  <c r="B179" i="21"/>
  <c r="B180" i="21"/>
  <c r="B181" i="21"/>
  <c r="B182" i="21"/>
  <c r="B183" i="21"/>
  <c r="B184" i="21"/>
  <c r="B185" i="21"/>
  <c r="B186" i="21"/>
  <c r="B187" i="21"/>
  <c r="B188" i="21"/>
  <c r="B189" i="21"/>
  <c r="B190" i="21"/>
  <c r="B191" i="21"/>
  <c r="B192" i="21"/>
  <c r="B193" i="21"/>
  <c r="B194" i="21"/>
  <c r="B195" i="21"/>
  <c r="B196" i="21"/>
  <c r="B197" i="21"/>
  <c r="B198" i="21"/>
  <c r="B199" i="21"/>
  <c r="B200" i="21"/>
  <c r="B201" i="21"/>
  <c r="B202" i="21"/>
  <c r="B203" i="21"/>
  <c r="B204" i="21"/>
  <c r="B205" i="21"/>
  <c r="B206" i="21"/>
  <c r="B207" i="21"/>
  <c r="B208" i="21"/>
  <c r="B209" i="21"/>
  <c r="B210" i="21"/>
  <c r="B211" i="21"/>
  <c r="B212" i="21"/>
  <c r="B213" i="21"/>
  <c r="B214" i="21"/>
  <c r="B215" i="21"/>
  <c r="B216" i="21"/>
  <c r="B217" i="21"/>
  <c r="B218" i="21"/>
  <c r="B219" i="21"/>
  <c r="B220" i="21"/>
  <c r="B221" i="21"/>
  <c r="B222" i="21"/>
  <c r="B223" i="21"/>
  <c r="B224" i="21"/>
  <c r="B225" i="21"/>
  <c r="B226" i="21"/>
  <c r="B227" i="21"/>
  <c r="B228" i="21"/>
  <c r="B229" i="21"/>
  <c r="B230" i="21"/>
  <c r="B231" i="21"/>
  <c r="B232" i="21"/>
  <c r="B233" i="21"/>
  <c r="B234" i="21"/>
  <c r="B235" i="21"/>
  <c r="B236" i="21"/>
  <c r="B237" i="21"/>
  <c r="B238" i="21"/>
  <c r="B239" i="21"/>
  <c r="B240" i="21"/>
  <c r="B241" i="21"/>
  <c r="B242" i="21"/>
  <c r="B243" i="21"/>
  <c r="B244" i="21"/>
  <c r="B245" i="21"/>
  <c r="B246" i="21"/>
  <c r="B247" i="21"/>
  <c r="B248" i="21"/>
  <c r="B249" i="21"/>
  <c r="B250" i="21"/>
  <c r="B251" i="21"/>
  <c r="B252" i="21"/>
  <c r="B253" i="21"/>
  <c r="B254" i="21"/>
  <c r="B255" i="21"/>
  <c r="B256" i="21"/>
  <c r="B257" i="21"/>
  <c r="B258" i="21"/>
  <c r="B259" i="21"/>
  <c r="B260" i="21"/>
  <c r="B261" i="21"/>
  <c r="C261" i="21"/>
  <c r="B262" i="21"/>
  <c r="C262" i="21"/>
  <c r="B263" i="21"/>
  <c r="C263" i="21"/>
  <c r="B264" i="21"/>
  <c r="C264" i="21"/>
  <c r="C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BA2" i="21" l="1"/>
  <c r="BA17" i="21"/>
  <c r="AZ17" i="21"/>
  <c r="AR12" i="20" l="1"/>
  <c r="AR2" i="20"/>
  <c r="G67" i="20"/>
  <c r="H67" i="20"/>
  <c r="C67" i="20"/>
  <c r="B67" i="20"/>
  <c r="N5" i="19" l="1"/>
  <c r="R2" i="5" l="1"/>
  <c r="AQ12" i="20" l="1"/>
  <c r="AQ2" i="20"/>
  <c r="AP12" i="20"/>
  <c r="AP2" i="20"/>
  <c r="AZ2" i="21" l="1"/>
  <c r="G66" i="20"/>
  <c r="B66" i="20"/>
  <c r="H66" i="20"/>
  <c r="C66" i="20"/>
  <c r="S2" i="5" l="1"/>
  <c r="R25" i="5" l="1"/>
  <c r="R24" i="5"/>
  <c r="R23" i="5"/>
  <c r="R22" i="5"/>
  <c r="R21" i="5"/>
  <c r="R11" i="5"/>
  <c r="E27" i="19"/>
  <c r="F8" i="22" l="1"/>
  <c r="F5" i="19" l="1"/>
  <c r="K26" i="19" l="1"/>
  <c r="E26" i="19"/>
  <c r="A66" i="19" l="1"/>
  <c r="F2" i="22" l="1"/>
  <c r="A73" i="19" l="1"/>
  <c r="A72" i="19"/>
  <c r="A71" i="19"/>
  <c r="A70" i="19"/>
  <c r="A69" i="19"/>
  <c r="R20" i="5"/>
  <c r="A68" i="19" s="1"/>
  <c r="A43" i="19"/>
  <c r="R17" i="5"/>
  <c r="R14" i="5"/>
  <c r="L27" i="19"/>
  <c r="F27" i="19"/>
  <c r="K27" i="19"/>
  <c r="K2" i="19"/>
  <c r="I2" i="19" l="1"/>
  <c r="F5" i="22"/>
  <c r="F2" i="19" s="1"/>
  <c r="A2" i="19"/>
  <c r="B1" i="22"/>
  <c r="A28" i="5"/>
  <c r="B28" i="5" s="1"/>
  <c r="A164" i="5"/>
  <c r="B164" i="5" s="1"/>
  <c r="A57" i="5"/>
  <c r="B57" i="5" s="1"/>
  <c r="E3" i="5" s="1"/>
  <c r="A101" i="5"/>
  <c r="B101" i="5" s="1"/>
  <c r="A252" i="5"/>
  <c r="B252" i="5" s="1"/>
  <c r="A98" i="5"/>
  <c r="B98" i="5" s="1"/>
  <c r="A55" i="5"/>
  <c r="B55" i="5" s="1"/>
  <c r="A82" i="5"/>
  <c r="B82" i="5" s="1"/>
  <c r="A184" i="5"/>
  <c r="B184" i="5" s="1"/>
  <c r="A208" i="5"/>
  <c r="B208" i="5" s="1"/>
  <c r="A27" i="5"/>
  <c r="B27" i="5" s="1"/>
  <c r="A133" i="5"/>
  <c r="B133" i="5" s="1"/>
  <c r="A48" i="5"/>
  <c r="B48" i="5" s="1"/>
  <c r="A49" i="5"/>
  <c r="B49" i="5" s="1"/>
  <c r="A147" i="5"/>
  <c r="B147" i="5" s="1"/>
  <c r="A99" i="5"/>
  <c r="B99" i="5" s="1"/>
  <c r="A223" i="5"/>
  <c r="B223" i="5" s="1"/>
  <c r="A172" i="5"/>
  <c r="B172" i="5" s="1"/>
  <c r="A196" i="5"/>
  <c r="B196" i="5" s="1"/>
  <c r="A70" i="5"/>
  <c r="B70" i="5" s="1"/>
  <c r="A131" i="5"/>
  <c r="B131" i="5" s="1"/>
  <c r="A197" i="5"/>
  <c r="B197" i="5" s="1"/>
  <c r="A68" i="5"/>
  <c r="B68" i="5" s="1"/>
  <c r="A10" i="5"/>
  <c r="B10" i="5" s="1"/>
  <c r="A80" i="5"/>
  <c r="B80" i="5" s="1"/>
  <c r="A248" i="5"/>
  <c r="B248" i="5" s="1"/>
  <c r="A140" i="5"/>
  <c r="B140" i="5" s="1"/>
  <c r="A193" i="5"/>
  <c r="B193" i="5" s="1"/>
  <c r="A238" i="5"/>
  <c r="B238" i="5" s="1"/>
  <c r="A66" i="5"/>
  <c r="B66" i="5" s="1"/>
  <c r="A127" i="5"/>
  <c r="B127" i="5" s="1"/>
  <c r="A132" i="5"/>
  <c r="B132" i="5" s="1"/>
  <c r="A183" i="5"/>
  <c r="B183" i="5" s="1"/>
  <c r="A236" i="5"/>
  <c r="B236" i="5" s="1"/>
  <c r="A205" i="5"/>
  <c r="B205" i="5" s="1"/>
  <c r="A244" i="5"/>
  <c r="B244" i="5" s="1"/>
  <c r="A188" i="5"/>
  <c r="B188" i="5" s="1"/>
  <c r="A45" i="5"/>
  <c r="B45" i="5" s="1"/>
  <c r="A5" i="5"/>
  <c r="B5" i="5" s="1"/>
  <c r="A243" i="5"/>
  <c r="B243" i="5" s="1"/>
  <c r="A256" i="5"/>
  <c r="B256" i="5" s="1"/>
  <c r="A149" i="5"/>
  <c r="B149" i="5" s="1"/>
  <c r="A189" i="5"/>
  <c r="B189" i="5" s="1"/>
  <c r="A78" i="5"/>
  <c r="B78" i="5" s="1"/>
  <c r="A17" i="5"/>
  <c r="B17" i="5" s="1"/>
  <c r="A19" i="5"/>
  <c r="B19" i="5" s="1"/>
  <c r="A112" i="5"/>
  <c r="B112" i="5" s="1"/>
  <c r="A239" i="5"/>
  <c r="B239" i="5" s="1"/>
  <c r="A246" i="5"/>
  <c r="B246" i="5" s="1"/>
  <c r="A226" i="5"/>
  <c r="B226" i="5" s="1"/>
  <c r="A115" i="5"/>
  <c r="B115" i="5" s="1"/>
  <c r="A206" i="5"/>
  <c r="B206" i="5" s="1"/>
  <c r="A122" i="5"/>
  <c r="B122" i="5" s="1"/>
  <c r="A38" i="5"/>
  <c r="B38" i="5" s="1"/>
  <c r="A200" i="5"/>
  <c r="B200" i="5" s="1"/>
  <c r="A121" i="5"/>
  <c r="B121" i="5" s="1"/>
  <c r="A62" i="5"/>
  <c r="B62" i="5" s="1"/>
  <c r="A151" i="5"/>
  <c r="B151" i="5" s="1"/>
  <c r="A199" i="5"/>
  <c r="B199" i="5" s="1"/>
  <c r="A141" i="5"/>
  <c r="B141" i="5" s="1"/>
  <c r="A6" i="5"/>
  <c r="B6" i="5" s="1"/>
  <c r="A237" i="5"/>
  <c r="B237" i="5" s="1"/>
  <c r="A130" i="5"/>
  <c r="B130" i="5" s="1"/>
  <c r="A4" i="5"/>
  <c r="B4" i="5" s="1"/>
  <c r="A218" i="5"/>
  <c r="B218" i="5" s="1"/>
  <c r="A221" i="5"/>
  <c r="B221" i="5" s="1"/>
  <c r="A144" i="5"/>
  <c r="B144" i="5" s="1"/>
  <c r="A257" i="5"/>
  <c r="B257" i="5" s="1"/>
  <c r="A139" i="5"/>
  <c r="B139" i="5" s="1"/>
  <c r="A46" i="5"/>
  <c r="B46" i="5" s="1"/>
  <c r="A166" i="5"/>
  <c r="B166" i="5" s="1"/>
  <c r="A235" i="5"/>
  <c r="B235" i="5" s="1"/>
  <c r="A111" i="5"/>
  <c r="B111" i="5" s="1"/>
  <c r="A198" i="5"/>
  <c r="B198" i="5" s="1"/>
  <c r="A77" i="5"/>
  <c r="B77" i="5" s="1"/>
  <c r="A88" i="5"/>
  <c r="B88" i="5" s="1"/>
  <c r="A87" i="5"/>
  <c r="B87" i="5" s="1"/>
  <c r="A202" i="5"/>
  <c r="B202" i="5" s="1"/>
  <c r="A129" i="5"/>
  <c r="B129" i="5" s="1"/>
  <c r="A64" i="5"/>
  <c r="B64" i="5" s="1"/>
  <c r="A79" i="5"/>
  <c r="B79" i="5" s="1"/>
  <c r="A231" i="5"/>
  <c r="B231" i="5" s="1"/>
  <c r="A30" i="5"/>
  <c r="B30" i="5" s="1"/>
  <c r="A167" i="5"/>
  <c r="B167" i="5" s="1"/>
  <c r="A108" i="5"/>
  <c r="B108" i="5" s="1"/>
  <c r="A258" i="5"/>
  <c r="B258" i="5" s="1"/>
  <c r="A15" i="5"/>
  <c r="B15" i="5" s="1"/>
  <c r="A194" i="5"/>
  <c r="B194" i="5" s="1"/>
  <c r="A76" i="5"/>
  <c r="B76" i="5" s="1"/>
  <c r="A185" i="5"/>
  <c r="B185" i="5" s="1"/>
  <c r="A56" i="5"/>
  <c r="B56" i="5" s="1"/>
  <c r="A187" i="5"/>
  <c r="B187" i="5" s="1"/>
  <c r="A47" i="5"/>
  <c r="B47" i="5" s="1"/>
  <c r="A211" i="5"/>
  <c r="B211" i="5" s="1"/>
  <c r="A11" i="5"/>
  <c r="B11" i="5" s="1"/>
  <c r="A20" i="5"/>
  <c r="B20" i="5" s="1"/>
  <c r="A65" i="5"/>
  <c r="B65" i="5" s="1"/>
  <c r="A60" i="5"/>
  <c r="B60" i="5" s="1"/>
  <c r="A207" i="5"/>
  <c r="B207" i="5" s="1"/>
  <c r="A114" i="5"/>
  <c r="B114" i="5" s="1"/>
  <c r="A242" i="5"/>
  <c r="B242" i="5" s="1"/>
  <c r="A228" i="5"/>
  <c r="B228" i="5" s="1"/>
  <c r="A201" i="5"/>
  <c r="B201" i="5" s="1"/>
  <c r="A42" i="5"/>
  <c r="B42" i="5" s="1"/>
  <c r="A153" i="5"/>
  <c r="B153" i="5" s="1"/>
  <c r="A135" i="5"/>
  <c r="B135" i="5" s="1"/>
  <c r="A186" i="5"/>
  <c r="B186" i="5" s="1"/>
  <c r="A145" i="5"/>
  <c r="B145" i="5" s="1"/>
  <c r="A120" i="5"/>
  <c r="B120" i="5" s="1"/>
  <c r="A146" i="5"/>
  <c r="B146" i="5" s="1"/>
  <c r="A191" i="5"/>
  <c r="B191" i="5" s="1"/>
  <c r="A203" i="5"/>
  <c r="B203" i="5" s="1"/>
  <c r="A136" i="5"/>
  <c r="B136" i="5" s="1"/>
  <c r="A217" i="5"/>
  <c r="B217" i="5" s="1"/>
  <c r="A155" i="5"/>
  <c r="B155" i="5" s="1"/>
  <c r="A39" i="5"/>
  <c r="B39" i="5" s="1"/>
  <c r="A224" i="5"/>
  <c r="B224" i="5" s="1"/>
  <c r="A126" i="5"/>
  <c r="B126" i="5" s="1"/>
  <c r="A251" i="5"/>
  <c r="B251" i="5" s="1"/>
  <c r="A109" i="5"/>
  <c r="B109" i="5" s="1"/>
  <c r="A83" i="5"/>
  <c r="B83" i="5" s="1"/>
  <c r="A215" i="5"/>
  <c r="B215" i="5" s="1"/>
  <c r="A148" i="5"/>
  <c r="B148" i="5" s="1"/>
  <c r="A31" i="5"/>
  <c r="B31" i="5" s="1"/>
  <c r="A86" i="5"/>
  <c r="B86" i="5" s="1"/>
  <c r="A29" i="5"/>
  <c r="B29" i="5" s="1"/>
  <c r="A92" i="5"/>
  <c r="B92" i="5" s="1"/>
  <c r="A63" i="5"/>
  <c r="B63" i="5" s="1"/>
  <c r="A161" i="5"/>
  <c r="B161" i="5" s="1"/>
  <c r="A53" i="5"/>
  <c r="B53" i="5" s="1"/>
  <c r="A176" i="5"/>
  <c r="B176" i="5" s="1"/>
  <c r="A12" i="5"/>
  <c r="B12" i="5" s="1"/>
  <c r="A123" i="5"/>
  <c r="B123" i="5" s="1"/>
  <c r="A213" i="5"/>
  <c r="B213" i="5" s="1"/>
  <c r="A90" i="5"/>
  <c r="B90" i="5" s="1"/>
  <c r="A23" i="5"/>
  <c r="B23" i="5" s="1"/>
  <c r="A240" i="5"/>
  <c r="B240" i="5" s="1"/>
  <c r="A59" i="5"/>
  <c r="B59" i="5" s="1"/>
  <c r="A7" i="5"/>
  <c r="B7" i="5" s="1"/>
  <c r="A84" i="5"/>
  <c r="B84" i="5" s="1"/>
  <c r="A14" i="5"/>
  <c r="B14" i="5" s="1"/>
  <c r="A58" i="5"/>
  <c r="B58" i="5" s="1"/>
  <c r="A143" i="5"/>
  <c r="B143" i="5" s="1"/>
  <c r="A106" i="5"/>
  <c r="B106" i="5" s="1"/>
  <c r="A102" i="5"/>
  <c r="B102" i="5" s="1"/>
  <c r="A214" i="5"/>
  <c r="B214" i="5" s="1"/>
  <c r="A210" i="5"/>
  <c r="B210" i="5" s="1"/>
  <c r="A216" i="5"/>
  <c r="B216" i="5" s="1"/>
  <c r="A43" i="5"/>
  <c r="B43" i="5" s="1"/>
  <c r="A26" i="5"/>
  <c r="B26" i="5" s="1"/>
  <c r="A152" i="5"/>
  <c r="B152" i="5" s="1"/>
  <c r="A234" i="5"/>
  <c r="B234" i="5" s="1"/>
  <c r="A81" i="5"/>
  <c r="B81" i="5" s="1"/>
  <c r="A18" i="5"/>
  <c r="B18" i="5" s="1"/>
  <c r="A54" i="5"/>
  <c r="B54" i="5" s="1"/>
  <c r="A35" i="5"/>
  <c r="B35" i="5" s="1"/>
  <c r="A165" i="5"/>
  <c r="B165" i="5" s="1"/>
  <c r="A212" i="5"/>
  <c r="B212" i="5" s="1"/>
  <c r="A119" i="5"/>
  <c r="B119" i="5" s="1"/>
  <c r="A249" i="5"/>
  <c r="B249" i="5" s="1"/>
  <c r="A89" i="5"/>
  <c r="B89" i="5" s="1"/>
  <c r="A222" i="5"/>
  <c r="B222" i="5" s="1"/>
  <c r="A74" i="5"/>
  <c r="B74" i="5" s="1"/>
  <c r="A61" i="5"/>
  <c r="B61" i="5" s="1"/>
  <c r="A179" i="5"/>
  <c r="B179" i="5" s="1"/>
  <c r="A41" i="5"/>
  <c r="B41" i="5" s="1"/>
  <c r="A50" i="5"/>
  <c r="B50" i="5" s="1"/>
  <c r="A34" i="5"/>
  <c r="B34" i="5" s="1"/>
  <c r="A178" i="5"/>
  <c r="B178" i="5" s="1"/>
  <c r="A245" i="5"/>
  <c r="B245" i="5" s="1"/>
  <c r="A16" i="5"/>
  <c r="B16" i="5" s="1"/>
  <c r="A67" i="5"/>
  <c r="B67" i="5" s="1"/>
  <c r="A259" i="5"/>
  <c r="B259" i="5" s="1"/>
  <c r="A128" i="5"/>
  <c r="B128" i="5" s="1"/>
  <c r="A225" i="5"/>
  <c r="B225" i="5" s="1"/>
  <c r="A96" i="5"/>
  <c r="B96" i="5" s="1"/>
  <c r="A97" i="5"/>
  <c r="B97" i="5" s="1"/>
  <c r="A100" i="5"/>
  <c r="B100" i="5" s="1"/>
  <c r="A32" i="5"/>
  <c r="B32" i="5" s="1"/>
  <c r="A230" i="5"/>
  <c r="B230" i="5" s="1"/>
  <c r="A105" i="5"/>
  <c r="B105" i="5" s="1"/>
  <c r="A195" i="5"/>
  <c r="B195" i="5" s="1"/>
  <c r="A124" i="5"/>
  <c r="B124" i="5" s="1"/>
  <c r="A24" i="5"/>
  <c r="B24" i="5" s="1"/>
  <c r="A113" i="5"/>
  <c r="B113" i="5" s="1"/>
  <c r="A250" i="5"/>
  <c r="B250" i="5" s="1"/>
  <c r="A173" i="5"/>
  <c r="B173" i="5" s="1"/>
  <c r="A104" i="5"/>
  <c r="B104" i="5" s="1"/>
  <c r="A3" i="5"/>
  <c r="B3" i="5" s="1"/>
  <c r="A174" i="5"/>
  <c r="B174" i="5" s="1"/>
  <c r="A94" i="5"/>
  <c r="B94" i="5" s="1"/>
  <c r="A25" i="5"/>
  <c r="B25" i="5" s="1"/>
  <c r="A138" i="5"/>
  <c r="B138" i="5" s="1"/>
  <c r="A209" i="5"/>
  <c r="B209" i="5" s="1"/>
  <c r="A157" i="5"/>
  <c r="B157" i="5" s="1"/>
  <c r="A33" i="5"/>
  <c r="B33" i="5" s="1"/>
  <c r="A154" i="5"/>
  <c r="B154" i="5" s="1"/>
  <c r="A229" i="5"/>
  <c r="B229" i="5" s="1"/>
  <c r="A125" i="5"/>
  <c r="B125" i="5" s="1"/>
  <c r="A253" i="5"/>
  <c r="B253" i="5" s="1"/>
  <c r="A107" i="5"/>
  <c r="B107" i="5" s="1"/>
  <c r="A95" i="5"/>
  <c r="B95" i="5" s="1"/>
  <c r="A137" i="5"/>
  <c r="B137" i="5" s="1"/>
  <c r="A44" i="5"/>
  <c r="B44" i="5" s="1"/>
  <c r="A204" i="5"/>
  <c r="B204" i="5" s="1"/>
  <c r="A180" i="5"/>
  <c r="B180" i="5" s="1"/>
  <c r="A150" i="5"/>
  <c r="B150" i="5" s="1"/>
  <c r="A51" i="5"/>
  <c r="B51" i="5" s="1"/>
  <c r="A169" i="5"/>
  <c r="B169" i="5" s="1"/>
  <c r="A220" i="5"/>
  <c r="B220" i="5" s="1"/>
  <c r="A103" i="5"/>
  <c r="B103" i="5" s="1"/>
  <c r="A227" i="5"/>
  <c r="B227" i="5" s="1"/>
  <c r="A93" i="5"/>
  <c r="B93" i="5" s="1"/>
  <c r="A134" i="5"/>
  <c r="B134" i="5" s="1"/>
  <c r="A22" i="5"/>
  <c r="B22" i="5" s="1"/>
  <c r="A177" i="5"/>
  <c r="B177" i="5" s="1"/>
  <c r="A21" i="5"/>
  <c r="B21" i="5" s="1"/>
  <c r="A156" i="5"/>
  <c r="B156" i="5" s="1"/>
  <c r="A159" i="5"/>
  <c r="B159" i="5" s="1"/>
  <c r="A190" i="5"/>
  <c r="B190" i="5" s="1"/>
  <c r="A241" i="5"/>
  <c r="B241" i="5" s="1"/>
  <c r="A158" i="5"/>
  <c r="B158" i="5" s="1"/>
  <c r="A8" i="5"/>
  <c r="B8" i="5" s="1"/>
  <c r="A254" i="5"/>
  <c r="B254" i="5" s="1"/>
  <c r="A116" i="5"/>
  <c r="B116" i="5" s="1"/>
  <c r="A181" i="5"/>
  <c r="B181" i="5" s="1"/>
  <c r="A160" i="5"/>
  <c r="B160" i="5" s="1"/>
  <c r="A69" i="5"/>
  <c r="B69" i="5" s="1"/>
  <c r="A247" i="5"/>
  <c r="B247" i="5" s="1"/>
  <c r="A233" i="5"/>
  <c r="B233" i="5" s="1"/>
  <c r="A192" i="5"/>
  <c r="B192" i="5" s="1"/>
  <c r="A170" i="5"/>
  <c r="B170" i="5" s="1"/>
  <c r="A75" i="5"/>
  <c r="B75" i="5" s="1"/>
  <c r="A71" i="5"/>
  <c r="B71" i="5" s="1"/>
  <c r="A142" i="5"/>
  <c r="B142" i="5" s="1"/>
  <c r="A175" i="5"/>
  <c r="B175" i="5" s="1"/>
  <c r="A9" i="5"/>
  <c r="B9" i="5" s="1"/>
  <c r="A85" i="5"/>
  <c r="B85" i="5" s="1"/>
  <c r="A117" i="5"/>
  <c r="B117" i="5" s="1"/>
  <c r="A118" i="5"/>
  <c r="B118" i="5" s="1"/>
  <c r="A255" i="5"/>
  <c r="B255" i="5" s="1"/>
  <c r="A91" i="5"/>
  <c r="B91" i="5" s="1"/>
  <c r="A171" i="5"/>
  <c r="B171" i="5" s="1"/>
  <c r="A52" i="5"/>
  <c r="B52" i="5" s="1"/>
  <c r="A168" i="5"/>
  <c r="B168" i="5" s="1"/>
  <c r="A232" i="5"/>
  <c r="B232" i="5" s="1"/>
  <c r="A182" i="5"/>
  <c r="B182" i="5" s="1"/>
  <c r="A13" i="5"/>
  <c r="B13" i="5" s="1"/>
  <c r="A40" i="5"/>
  <c r="B40" i="5" s="1"/>
  <c r="A219" i="5"/>
  <c r="B219" i="5" s="1"/>
  <c r="A73" i="5"/>
  <c r="B73" i="5" s="1"/>
  <c r="A37" i="5"/>
  <c r="B37" i="5" s="1"/>
  <c r="A36" i="5"/>
  <c r="B36" i="5" s="1"/>
  <c r="A162" i="5"/>
  <c r="B162" i="5" s="1"/>
  <c r="A163" i="5"/>
  <c r="B163" i="5" s="1"/>
  <c r="A110" i="5"/>
  <c r="B110" i="5" s="1"/>
  <c r="A72" i="5"/>
  <c r="B72" i="5" s="1"/>
  <c r="D15" i="20" l="1"/>
  <c r="B15" i="20"/>
  <c r="D4" i="20"/>
  <c r="C15" i="20"/>
  <c r="C4" i="20"/>
  <c r="B4" i="20"/>
  <c r="AY17" i="21"/>
  <c r="AY2" i="21"/>
  <c r="G65" i="20" l="1"/>
  <c r="B65" i="20"/>
  <c r="H65" i="20"/>
  <c r="C65" i="20"/>
  <c r="AX17" i="21" l="1"/>
  <c r="AX2" i="21"/>
  <c r="R8" i="5" l="1"/>
  <c r="T8" i="5" s="1"/>
  <c r="S8" i="5"/>
  <c r="G64" i="20"/>
  <c r="B64" i="20"/>
  <c r="C64" i="20"/>
  <c r="H64" i="20"/>
  <c r="AO2" i="20"/>
  <c r="AO12" i="20"/>
  <c r="AW17" i="21" l="1"/>
  <c r="AW2" i="21"/>
  <c r="T2" i="5"/>
  <c r="AX15" i="20" l="1"/>
  <c r="AX4" i="20"/>
  <c r="AX3" i="20"/>
  <c r="AX6" i="20" s="1"/>
  <c r="AX14" i="20"/>
  <c r="AX17" i="20" s="1"/>
  <c r="AW3" i="20"/>
  <c r="AW6" i="20" s="1"/>
  <c r="AW4" i="20"/>
  <c r="AW14" i="20"/>
  <c r="AW17" i="20" s="1"/>
  <c r="AX18" i="20" s="1"/>
  <c r="AW15" i="20"/>
  <c r="AV4" i="20"/>
  <c r="AV15" i="20"/>
  <c r="AV3" i="20"/>
  <c r="AV6" i="20" s="1"/>
  <c r="AV14" i="20"/>
  <c r="AV17" i="20" s="1"/>
  <c r="AU4" i="20"/>
  <c r="AU14" i="20"/>
  <c r="AU17" i="20" s="1"/>
  <c r="AU15" i="20"/>
  <c r="AU3" i="20"/>
  <c r="AU6" i="20" s="1"/>
  <c r="AT14" i="20"/>
  <c r="AT17" i="20" s="1"/>
  <c r="AT4" i="20"/>
  <c r="AT15" i="20"/>
  <c r="AT3" i="20"/>
  <c r="AT6" i="20" s="1"/>
  <c r="AS15" i="20"/>
  <c r="AS4" i="20"/>
  <c r="AR4" i="20"/>
  <c r="AR15" i="20"/>
  <c r="AP4" i="20"/>
  <c r="AQ15" i="20"/>
  <c r="AP15" i="20"/>
  <c r="AQ4" i="20"/>
  <c r="G4" i="20"/>
  <c r="W4" i="20"/>
  <c r="AM4" i="20"/>
  <c r="AC4" i="20"/>
  <c r="Z4" i="20"/>
  <c r="P4" i="20"/>
  <c r="AF4" i="20"/>
  <c r="Q4" i="20"/>
  <c r="F4" i="20"/>
  <c r="AL4" i="20"/>
  <c r="Q15" i="20"/>
  <c r="AG15" i="20"/>
  <c r="S15" i="20"/>
  <c r="T15" i="20"/>
  <c r="J15" i="20"/>
  <c r="Z15" i="20"/>
  <c r="AA15" i="20"/>
  <c r="P15" i="20"/>
  <c r="K4" i="20"/>
  <c r="AA4" i="20"/>
  <c r="E4" i="20"/>
  <c r="AK4" i="20"/>
  <c r="AH4" i="20"/>
  <c r="T4" i="20"/>
  <c r="AJ4" i="20"/>
  <c r="Y4" i="20"/>
  <c r="N4" i="20"/>
  <c r="U15" i="20"/>
  <c r="AK15" i="20"/>
  <c r="AE15" i="20"/>
  <c r="AB15" i="20"/>
  <c r="N15" i="20"/>
  <c r="AD15" i="20"/>
  <c r="G15" i="20"/>
  <c r="AI15" i="20"/>
  <c r="X15" i="20"/>
  <c r="O4" i="20"/>
  <c r="AE4" i="20"/>
  <c r="I4" i="20"/>
  <c r="J4" i="20"/>
  <c r="H4" i="20"/>
  <c r="X4" i="20"/>
  <c r="AN4" i="20"/>
  <c r="AG4" i="20"/>
  <c r="V4" i="20"/>
  <c r="I15" i="20"/>
  <c r="Y15" i="20"/>
  <c r="AO15" i="20"/>
  <c r="AM15" i="20"/>
  <c r="AN15" i="20"/>
  <c r="R15" i="20"/>
  <c r="AH15" i="20"/>
  <c r="O15" i="20"/>
  <c r="E15" i="20"/>
  <c r="AF15" i="20"/>
  <c r="S4" i="20"/>
  <c r="AI4" i="20"/>
  <c r="U4" i="20"/>
  <c r="R4" i="20"/>
  <c r="L4" i="20"/>
  <c r="AB4" i="20"/>
  <c r="M4" i="20"/>
  <c r="AO4" i="20"/>
  <c r="AD4" i="20"/>
  <c r="M15" i="20"/>
  <c r="AC15" i="20"/>
  <c r="K15" i="20"/>
  <c r="L15" i="20"/>
  <c r="F15" i="20"/>
  <c r="V15" i="20"/>
  <c r="AL15" i="20"/>
  <c r="W15" i="20"/>
  <c r="H15" i="20"/>
  <c r="AJ15" i="20"/>
  <c r="R5" i="5"/>
  <c r="G27" i="19"/>
  <c r="F6" i="19"/>
  <c r="A27" i="19"/>
  <c r="B6" i="19"/>
  <c r="B5" i="19"/>
  <c r="E28" i="5"/>
  <c r="E164" i="5"/>
  <c r="E57" i="5"/>
  <c r="E101" i="5"/>
  <c r="E252" i="5"/>
  <c r="E98" i="5"/>
  <c r="E55" i="5"/>
  <c r="E82" i="5"/>
  <c r="E184" i="5"/>
  <c r="E208" i="5"/>
  <c r="E27" i="5"/>
  <c r="E133" i="5"/>
  <c r="E48" i="5"/>
  <c r="E49" i="5"/>
  <c r="E147" i="5"/>
  <c r="E99" i="5"/>
  <c r="E223" i="5"/>
  <c r="E172" i="5"/>
  <c r="E196" i="5"/>
  <c r="E70" i="5"/>
  <c r="E131" i="5"/>
  <c r="E197" i="5"/>
  <c r="E68" i="5"/>
  <c r="E10" i="5"/>
  <c r="E80" i="5"/>
  <c r="E248" i="5"/>
  <c r="E140" i="5"/>
  <c r="E193" i="5"/>
  <c r="E238" i="5"/>
  <c r="E66" i="5"/>
  <c r="E127" i="5"/>
  <c r="E132" i="5"/>
  <c r="E183" i="5"/>
  <c r="E236" i="5"/>
  <c r="E205" i="5"/>
  <c r="E244" i="5"/>
  <c r="E188" i="5"/>
  <c r="E45" i="5"/>
  <c r="E5" i="5"/>
  <c r="E243" i="5"/>
  <c r="E256" i="5"/>
  <c r="E149" i="5"/>
  <c r="E189" i="5"/>
  <c r="E78" i="5"/>
  <c r="E17" i="5"/>
  <c r="E19" i="5"/>
  <c r="E112" i="5"/>
  <c r="E239" i="5"/>
  <c r="E246" i="5"/>
  <c r="E226" i="5"/>
  <c r="E115" i="5"/>
  <c r="E206" i="5"/>
  <c r="E122" i="5"/>
  <c r="E38" i="5"/>
  <c r="E200" i="5"/>
  <c r="E121" i="5"/>
  <c r="E62" i="5"/>
  <c r="E151" i="5"/>
  <c r="E199" i="5"/>
  <c r="E141" i="5"/>
  <c r="E6" i="5"/>
  <c r="E237" i="5"/>
  <c r="E130" i="5"/>
  <c r="E4" i="5"/>
  <c r="E218" i="5"/>
  <c r="E221" i="5"/>
  <c r="E144" i="5"/>
  <c r="E257" i="5"/>
  <c r="E139" i="5"/>
  <c r="E46" i="5"/>
  <c r="E166" i="5"/>
  <c r="E235" i="5"/>
  <c r="E111" i="5"/>
  <c r="E198" i="5"/>
  <c r="E77" i="5"/>
  <c r="E88" i="5"/>
  <c r="E87" i="5"/>
  <c r="E202" i="5"/>
  <c r="E129" i="5"/>
  <c r="E64" i="5"/>
  <c r="E79" i="5"/>
  <c r="E231" i="5"/>
  <c r="E30" i="5"/>
  <c r="E167" i="5"/>
  <c r="E108" i="5"/>
  <c r="E258" i="5"/>
  <c r="E15" i="5"/>
  <c r="E194" i="5"/>
  <c r="E76" i="5"/>
  <c r="E185" i="5"/>
  <c r="E56" i="5"/>
  <c r="E187" i="5"/>
  <c r="E47" i="5"/>
  <c r="E211" i="5"/>
  <c r="E11" i="5"/>
  <c r="E20" i="5"/>
  <c r="E65" i="5"/>
  <c r="E60" i="5"/>
  <c r="E207" i="5"/>
  <c r="E114" i="5"/>
  <c r="E242" i="5"/>
  <c r="E228" i="5"/>
  <c r="E201" i="5"/>
  <c r="E42" i="5"/>
  <c r="E153" i="5"/>
  <c r="E135" i="5"/>
  <c r="E186" i="5"/>
  <c r="E145" i="5"/>
  <c r="E120" i="5"/>
  <c r="E146" i="5"/>
  <c r="E191" i="5"/>
  <c r="E203" i="5"/>
  <c r="E136" i="5"/>
  <c r="E217" i="5"/>
  <c r="E155" i="5"/>
  <c r="E39" i="5"/>
  <c r="E224" i="5"/>
  <c r="E126" i="5"/>
  <c r="E251" i="5"/>
  <c r="E109" i="5"/>
  <c r="E83" i="5"/>
  <c r="E215" i="5"/>
  <c r="E148" i="5"/>
  <c r="E31" i="5"/>
  <c r="E86" i="5"/>
  <c r="E29" i="5"/>
  <c r="E92" i="5"/>
  <c r="E63" i="5"/>
  <c r="E161" i="5"/>
  <c r="E53" i="5"/>
  <c r="E176" i="5"/>
  <c r="E12" i="5"/>
  <c r="E123" i="5"/>
  <c r="E213" i="5"/>
  <c r="E90" i="5"/>
  <c r="E23" i="5"/>
  <c r="E240" i="5"/>
  <c r="E59" i="5"/>
  <c r="E7" i="5"/>
  <c r="E84" i="5"/>
  <c r="E14" i="5"/>
  <c r="E58" i="5"/>
  <c r="E143" i="5"/>
  <c r="E106" i="5"/>
  <c r="E102" i="5"/>
  <c r="E214" i="5"/>
  <c r="E210" i="5"/>
  <c r="E216" i="5"/>
  <c r="E43" i="5"/>
  <c r="E26" i="5"/>
  <c r="E152" i="5"/>
  <c r="E234" i="5"/>
  <c r="E81" i="5"/>
  <c r="E18" i="5"/>
  <c r="E54" i="5"/>
  <c r="E35" i="5"/>
  <c r="E165" i="5"/>
  <c r="E212" i="5"/>
  <c r="E119" i="5"/>
  <c r="E249" i="5"/>
  <c r="E89" i="5"/>
  <c r="E222" i="5"/>
  <c r="E74" i="5"/>
  <c r="E61" i="5"/>
  <c r="E179" i="5"/>
  <c r="E41" i="5"/>
  <c r="E50" i="5"/>
  <c r="E34" i="5"/>
  <c r="E178" i="5"/>
  <c r="E245" i="5"/>
  <c r="E16" i="5"/>
  <c r="E67" i="5"/>
  <c r="E259" i="5"/>
  <c r="E128" i="5"/>
  <c r="E225" i="5"/>
  <c r="E96" i="5"/>
  <c r="E97" i="5"/>
  <c r="E100" i="5"/>
  <c r="E32" i="5"/>
  <c r="E230" i="5"/>
  <c r="E105" i="5"/>
  <c r="E195" i="5"/>
  <c r="E124" i="5"/>
  <c r="E24" i="5"/>
  <c r="E113" i="5"/>
  <c r="E250" i="5"/>
  <c r="E173" i="5"/>
  <c r="E104" i="5"/>
  <c r="E174" i="5"/>
  <c r="E94" i="5"/>
  <c r="E25" i="5"/>
  <c r="E138" i="5"/>
  <c r="E209" i="5"/>
  <c r="E157" i="5"/>
  <c r="E33" i="5"/>
  <c r="E154" i="5"/>
  <c r="E229" i="5"/>
  <c r="E125" i="5"/>
  <c r="E253" i="5"/>
  <c r="E107" i="5"/>
  <c r="E95" i="5"/>
  <c r="E137" i="5"/>
  <c r="E44" i="5"/>
  <c r="E204" i="5"/>
  <c r="E180" i="5"/>
  <c r="E150" i="5"/>
  <c r="E51" i="5"/>
  <c r="E169" i="5"/>
  <c r="E220" i="5"/>
  <c r="E103" i="5"/>
  <c r="E227" i="5"/>
  <c r="E93" i="5"/>
  <c r="E134" i="5"/>
  <c r="E22" i="5"/>
  <c r="E177" i="5"/>
  <c r="E21" i="5"/>
  <c r="E156" i="5"/>
  <c r="E159" i="5"/>
  <c r="E190" i="5"/>
  <c r="E241" i="5"/>
  <c r="E158" i="5"/>
  <c r="E8" i="5"/>
  <c r="E254" i="5"/>
  <c r="E116" i="5"/>
  <c r="E181" i="5"/>
  <c r="E160" i="5"/>
  <c r="E69" i="5"/>
  <c r="E247" i="5"/>
  <c r="E233" i="5"/>
  <c r="E192" i="5"/>
  <c r="E170" i="5"/>
  <c r="E75" i="5"/>
  <c r="E142" i="5"/>
  <c r="E175" i="5"/>
  <c r="E9" i="5"/>
  <c r="E85" i="5"/>
  <c r="E117" i="5"/>
  <c r="E118" i="5"/>
  <c r="E255" i="5"/>
  <c r="E91" i="5"/>
  <c r="E171" i="5"/>
  <c r="E52" i="5"/>
  <c r="E168" i="5"/>
  <c r="E232" i="5"/>
  <c r="E182" i="5"/>
  <c r="E13" i="5"/>
  <c r="E40" i="5"/>
  <c r="E219" i="5"/>
  <c r="E73" i="5"/>
  <c r="E37" i="5"/>
  <c r="E36" i="5"/>
  <c r="E162" i="5"/>
  <c r="E163" i="5"/>
  <c r="E110" i="5"/>
  <c r="F259" i="21"/>
  <c r="G259" i="21"/>
  <c r="F260" i="21"/>
  <c r="G260" i="21"/>
  <c r="F261" i="21"/>
  <c r="G261" i="21"/>
  <c r="F262" i="21"/>
  <c r="G262" i="21"/>
  <c r="F263" i="21"/>
  <c r="G263" i="21"/>
  <c r="F264" i="21"/>
  <c r="G264" i="21"/>
  <c r="AX7" i="20" l="1"/>
  <c r="AW7" i="20"/>
  <c r="AW18" i="20"/>
  <c r="AV7" i="20"/>
  <c r="AU18" i="20"/>
  <c r="AV18" i="20"/>
  <c r="AU7" i="20"/>
  <c r="AS14" i="20"/>
  <c r="AS17" i="20" s="1"/>
  <c r="AT18" i="20" s="1"/>
  <c r="AS3" i="20"/>
  <c r="AS6" i="20" s="1"/>
  <c r="AT7" i="20" s="1"/>
  <c r="AR14" i="20"/>
  <c r="AR17" i="20" s="1"/>
  <c r="AR3" i="20"/>
  <c r="AR6" i="20" s="1"/>
  <c r="AP3" i="20"/>
  <c r="AQ3" i="20"/>
  <c r="AP14" i="20"/>
  <c r="AQ14" i="20"/>
  <c r="A9" i="20"/>
  <c r="A20" i="20"/>
  <c r="E3" i="20"/>
  <c r="H3" i="20"/>
  <c r="H6" i="20" s="1"/>
  <c r="AO3" i="20"/>
  <c r="AO6" i="20" s="1"/>
  <c r="AO14" i="20"/>
  <c r="AO17" i="20" s="1"/>
  <c r="AB3" i="20"/>
  <c r="AB6" i="20" s="1"/>
  <c r="J14" i="20"/>
  <c r="J17" i="20" s="1"/>
  <c r="Q14" i="20"/>
  <c r="Q17" i="20" s="1"/>
  <c r="F3" i="20"/>
  <c r="F6" i="20" s="1"/>
  <c r="AL14" i="20"/>
  <c r="AL17" i="20" s="1"/>
  <c r="F14" i="20"/>
  <c r="F17" i="20" s="1"/>
  <c r="S3" i="20"/>
  <c r="S6" i="20" s="1"/>
  <c r="M14" i="20"/>
  <c r="M17" i="20" s="1"/>
  <c r="N3" i="20"/>
  <c r="N6" i="20" s="1"/>
  <c r="AL3" i="20"/>
  <c r="AL6" i="20" s="1"/>
  <c r="AH14" i="20"/>
  <c r="AH17" i="20" s="1"/>
  <c r="R14" i="20"/>
  <c r="R17" i="20" s="1"/>
  <c r="AE3" i="20"/>
  <c r="AE6" i="20" s="1"/>
  <c r="O3" i="20"/>
  <c r="O6" i="20" s="1"/>
  <c r="Y14" i="20"/>
  <c r="Y17" i="20" s="1"/>
  <c r="I14" i="20"/>
  <c r="I17" i="20" s="1"/>
  <c r="AN14" i="20"/>
  <c r="X14" i="20"/>
  <c r="X17" i="20" s="1"/>
  <c r="H14" i="20"/>
  <c r="H17" i="20" s="1"/>
  <c r="I3" i="20"/>
  <c r="I6" i="20" s="1"/>
  <c r="AI14" i="20"/>
  <c r="AI17" i="20" s="1"/>
  <c r="S14" i="20"/>
  <c r="S17" i="20" s="1"/>
  <c r="X3" i="20"/>
  <c r="X6" i="20" s="1"/>
  <c r="R3" i="20"/>
  <c r="R6" i="20" s="1"/>
  <c r="T3" i="20"/>
  <c r="T6" i="20" s="1"/>
  <c r="V3" i="20"/>
  <c r="V6" i="20" s="1"/>
  <c r="AD14" i="20"/>
  <c r="AD17" i="20" s="1"/>
  <c r="N14" i="20"/>
  <c r="N17" i="20" s="1"/>
  <c r="AA3" i="20"/>
  <c r="AA6" i="20" s="1"/>
  <c r="K3" i="20"/>
  <c r="K6" i="20" s="1"/>
  <c r="AK14" i="20"/>
  <c r="AK17" i="20" s="1"/>
  <c r="U14" i="20"/>
  <c r="U17" i="20" s="1"/>
  <c r="AJ14" i="20"/>
  <c r="AJ17" i="20" s="1"/>
  <c r="T14" i="20"/>
  <c r="T17" i="20" s="1"/>
  <c r="U3" i="20"/>
  <c r="U6" i="20" s="1"/>
  <c r="AE14" i="20"/>
  <c r="AE17" i="20" s="1"/>
  <c r="O14" i="20"/>
  <c r="O17" i="20" s="1"/>
  <c r="AC3" i="20"/>
  <c r="AC6" i="20" s="1"/>
  <c r="Y3" i="20"/>
  <c r="Y6" i="20" s="1"/>
  <c r="Z3" i="20"/>
  <c r="Z6" i="20" s="1"/>
  <c r="Z14" i="20"/>
  <c r="Z17" i="20" s="1"/>
  <c r="AM3" i="20"/>
  <c r="AM6" i="20" s="1"/>
  <c r="W3" i="20"/>
  <c r="W6" i="20" s="1"/>
  <c r="AG14" i="20"/>
  <c r="AG17" i="20" s="1"/>
  <c r="AF14" i="20"/>
  <c r="AF17" i="20" s="1"/>
  <c r="P14" i="20"/>
  <c r="P17" i="20" s="1"/>
  <c r="Q3" i="20"/>
  <c r="Q6" i="20" s="1"/>
  <c r="AA14" i="20"/>
  <c r="AA17" i="20" s="1"/>
  <c r="K14" i="20"/>
  <c r="K17" i="20" s="1"/>
  <c r="AH3" i="20"/>
  <c r="AH6" i="20" s="1"/>
  <c r="AD3" i="20"/>
  <c r="AD6" i="20" s="1"/>
  <c r="AF3" i="20"/>
  <c r="AF6" i="20" s="1"/>
  <c r="G3" i="20"/>
  <c r="G6" i="20" s="1"/>
  <c r="AG3" i="20"/>
  <c r="AG6" i="20" s="1"/>
  <c r="V14" i="20"/>
  <c r="V17" i="20" s="1"/>
  <c r="AI3" i="20"/>
  <c r="AI6" i="20" s="1"/>
  <c r="E14" i="20"/>
  <c r="E17" i="20" s="1"/>
  <c r="AC14" i="20"/>
  <c r="AC17" i="20" s="1"/>
  <c r="AB14" i="20"/>
  <c r="AB17" i="20" s="1"/>
  <c r="L14" i="20"/>
  <c r="L17" i="20" s="1"/>
  <c r="M3" i="20"/>
  <c r="M6" i="20" s="1"/>
  <c r="AM14" i="20"/>
  <c r="AM17" i="20" s="1"/>
  <c r="W14" i="20"/>
  <c r="W17" i="20" s="1"/>
  <c r="G14" i="20"/>
  <c r="G17" i="20" s="1"/>
  <c r="P3" i="20"/>
  <c r="P6" i="20" s="1"/>
  <c r="AN3" i="20"/>
  <c r="J3" i="20"/>
  <c r="J6" i="20" s="1"/>
  <c r="AJ3" i="20"/>
  <c r="AJ6" i="20" s="1"/>
  <c r="L3" i="20"/>
  <c r="L6" i="20" s="1"/>
  <c r="AK3" i="20"/>
  <c r="AK6" i="20" s="1"/>
  <c r="G63" i="20"/>
  <c r="H63" i="20"/>
  <c r="B63" i="20"/>
  <c r="C63" i="20"/>
  <c r="AN2" i="20"/>
  <c r="AN12" i="20"/>
  <c r="AS18" i="20" l="1"/>
  <c r="AS7" i="20"/>
  <c r="AQ17" i="20"/>
  <c r="AR18" i="20" s="1"/>
  <c r="AP17" i="20"/>
  <c r="AP18" i="20" s="1"/>
  <c r="AQ6" i="20"/>
  <c r="AR7" i="20" s="1"/>
  <c r="AP6" i="20"/>
  <c r="AP7" i="20" s="1"/>
  <c r="E6" i="20"/>
  <c r="AN6" i="20"/>
  <c r="AO7" i="20" s="1"/>
  <c r="AN17" i="20"/>
  <c r="AO18" i="20" s="1"/>
  <c r="D43" i="19"/>
  <c r="AQ7" i="20" l="1"/>
  <c r="AQ18" i="20"/>
  <c r="C3" i="20"/>
  <c r="C14" i="20"/>
  <c r="D3" i="20"/>
  <c r="A4" i="20" s="1"/>
  <c r="D14"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25"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25"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C43" i="19"/>
  <c r="B8" i="20" l="1"/>
  <c r="AX8" i="20" s="1"/>
  <c r="B19" i="20"/>
  <c r="AX19" i="20" s="1"/>
  <c r="A3" i="20"/>
  <c r="A23" i="20" s="1"/>
  <c r="AV17" i="21"/>
  <c r="AU17" i="21"/>
  <c r="AT17" i="21"/>
  <c r="AS17" i="21"/>
  <c r="AR17" i="21"/>
  <c r="AQ17" i="21"/>
  <c r="AP17" i="21"/>
  <c r="AO17" i="21"/>
  <c r="AN17" i="21"/>
  <c r="AM17" i="21"/>
  <c r="AL17" i="21"/>
  <c r="AK17" i="21"/>
  <c r="AJ17" i="21"/>
  <c r="AI17" i="21"/>
  <c r="AH17" i="21"/>
  <c r="AG17" i="21"/>
  <c r="AF17" i="21"/>
  <c r="AE17" i="21"/>
  <c r="AD17" i="21"/>
  <c r="AC17" i="21"/>
  <c r="AB17" i="21"/>
  <c r="AA17" i="21"/>
  <c r="Z17" i="21"/>
  <c r="Y17" i="21"/>
  <c r="X17" i="21"/>
  <c r="W17" i="21"/>
  <c r="V17" i="21"/>
  <c r="U17" i="21"/>
  <c r="T17" i="21"/>
  <c r="S17" i="21"/>
  <c r="R17" i="21"/>
  <c r="Q17" i="21"/>
  <c r="P17" i="21"/>
  <c r="O17" i="21"/>
  <c r="N17" i="21"/>
  <c r="K17" i="21"/>
  <c r="K2" i="21"/>
  <c r="AV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S2" i="21"/>
  <c r="R2" i="21"/>
  <c r="Q2" i="21"/>
  <c r="P2" i="21"/>
  <c r="O2" i="21"/>
  <c r="N2" i="21"/>
  <c r="G28" i="19"/>
  <c r="G29" i="19"/>
  <c r="G30" i="19"/>
  <c r="G31" i="19"/>
  <c r="G32" i="19"/>
  <c r="G33" i="19"/>
  <c r="G34" i="19"/>
  <c r="G35" i="19"/>
  <c r="G36" i="19"/>
  <c r="G37" i="19"/>
  <c r="A29" i="19"/>
  <c r="A30" i="19"/>
  <c r="A31" i="19"/>
  <c r="A32" i="19"/>
  <c r="A33" i="19"/>
  <c r="A34" i="19"/>
  <c r="A35" i="19"/>
  <c r="A36" i="19"/>
  <c r="A37" i="19"/>
  <c r="A28" i="19"/>
  <c r="F3" i="21"/>
  <c r="G3" i="21"/>
  <c r="F4" i="21"/>
  <c r="G4" i="21"/>
  <c r="F5" i="21"/>
  <c r="G5" i="21"/>
  <c r="F6" i="21"/>
  <c r="G6" i="21"/>
  <c r="F7" i="21"/>
  <c r="G7" i="21"/>
  <c r="F8" i="21"/>
  <c r="G8" i="21"/>
  <c r="F9" i="21"/>
  <c r="G9" i="21"/>
  <c r="F10" i="21"/>
  <c r="G10" i="21"/>
  <c r="F11" i="21"/>
  <c r="G11" i="21"/>
  <c r="F12" i="21"/>
  <c r="G12" i="21"/>
  <c r="F13" i="21"/>
  <c r="G13" i="21"/>
  <c r="F14" i="21"/>
  <c r="G14" i="21"/>
  <c r="F15" i="21"/>
  <c r="G15" i="21"/>
  <c r="F16" i="21"/>
  <c r="G16" i="21"/>
  <c r="F17" i="21"/>
  <c r="G17" i="21"/>
  <c r="F18" i="21"/>
  <c r="G18" i="21"/>
  <c r="F19" i="21"/>
  <c r="G19" i="21"/>
  <c r="F20" i="21"/>
  <c r="G20" i="21"/>
  <c r="F21" i="21"/>
  <c r="G21" i="21"/>
  <c r="F22" i="21"/>
  <c r="G22" i="21"/>
  <c r="F23" i="21"/>
  <c r="G23" i="21"/>
  <c r="F24" i="21"/>
  <c r="G24" i="21"/>
  <c r="F25" i="21"/>
  <c r="G25" i="21"/>
  <c r="F26" i="21"/>
  <c r="G26" i="21"/>
  <c r="F27" i="21"/>
  <c r="G27" i="21"/>
  <c r="F28" i="21"/>
  <c r="G28" i="21"/>
  <c r="F29" i="21"/>
  <c r="G29" i="21"/>
  <c r="F30" i="21"/>
  <c r="G30" i="21"/>
  <c r="F31" i="21"/>
  <c r="G31" i="21"/>
  <c r="F32" i="21"/>
  <c r="G32" i="21"/>
  <c r="F33" i="21"/>
  <c r="G33" i="21"/>
  <c r="F34" i="21"/>
  <c r="G34" i="21"/>
  <c r="F35" i="21"/>
  <c r="G35" i="21"/>
  <c r="F36" i="21"/>
  <c r="G36" i="21"/>
  <c r="F37" i="21"/>
  <c r="G37" i="21"/>
  <c r="F38" i="21"/>
  <c r="G38" i="21"/>
  <c r="F39" i="21"/>
  <c r="G39" i="21"/>
  <c r="F40" i="21"/>
  <c r="G40" i="21"/>
  <c r="F41" i="21"/>
  <c r="G41" i="21"/>
  <c r="F42" i="21"/>
  <c r="G42" i="21"/>
  <c r="F43" i="21"/>
  <c r="G43" i="21"/>
  <c r="F44" i="21"/>
  <c r="G44" i="21"/>
  <c r="F45" i="21"/>
  <c r="G45" i="21"/>
  <c r="F46" i="21"/>
  <c r="G46" i="21"/>
  <c r="F47" i="21"/>
  <c r="G47" i="21"/>
  <c r="F48" i="21"/>
  <c r="G48" i="21"/>
  <c r="F49" i="21"/>
  <c r="G49" i="21"/>
  <c r="F50" i="21"/>
  <c r="G50" i="21"/>
  <c r="F51" i="21"/>
  <c r="G51" i="21"/>
  <c r="F52" i="21"/>
  <c r="G52" i="21"/>
  <c r="F53" i="21"/>
  <c r="G53" i="21"/>
  <c r="F54" i="21"/>
  <c r="G54" i="21"/>
  <c r="F55" i="21"/>
  <c r="G55" i="21"/>
  <c r="F56" i="21"/>
  <c r="G56" i="21"/>
  <c r="F57" i="21"/>
  <c r="G57" i="21"/>
  <c r="F58" i="21"/>
  <c r="G58" i="21"/>
  <c r="F59" i="21"/>
  <c r="G59" i="21"/>
  <c r="F60" i="21"/>
  <c r="G60" i="21"/>
  <c r="F61" i="21"/>
  <c r="G61" i="21"/>
  <c r="F62" i="21"/>
  <c r="G62" i="21"/>
  <c r="F63" i="21"/>
  <c r="G63" i="21"/>
  <c r="F64" i="21"/>
  <c r="G64" i="21"/>
  <c r="F65" i="21"/>
  <c r="G65" i="21"/>
  <c r="F66" i="21"/>
  <c r="G66" i="21"/>
  <c r="F67" i="21"/>
  <c r="G67" i="21"/>
  <c r="F68" i="21"/>
  <c r="G68" i="21"/>
  <c r="F69" i="21"/>
  <c r="G69" i="21"/>
  <c r="F70" i="21"/>
  <c r="G70" i="21"/>
  <c r="F71" i="21"/>
  <c r="G71" i="21"/>
  <c r="F72" i="21"/>
  <c r="G72" i="21"/>
  <c r="F73" i="21"/>
  <c r="G73" i="21"/>
  <c r="F74" i="21"/>
  <c r="G74" i="21"/>
  <c r="F75" i="21"/>
  <c r="G75" i="21"/>
  <c r="F76" i="21"/>
  <c r="G76" i="21"/>
  <c r="F77" i="21"/>
  <c r="G77" i="21"/>
  <c r="F78" i="21"/>
  <c r="G78" i="21"/>
  <c r="F79" i="21"/>
  <c r="G79" i="21"/>
  <c r="F80" i="21"/>
  <c r="G80" i="21"/>
  <c r="F81" i="21"/>
  <c r="G81" i="21"/>
  <c r="F82" i="21"/>
  <c r="G82" i="21"/>
  <c r="F83" i="21"/>
  <c r="G83" i="21"/>
  <c r="F84" i="21"/>
  <c r="G84" i="21"/>
  <c r="F85" i="21"/>
  <c r="G85" i="21"/>
  <c r="F86" i="21"/>
  <c r="G86" i="21"/>
  <c r="F87" i="21"/>
  <c r="G87" i="21"/>
  <c r="F88" i="21"/>
  <c r="G88" i="21"/>
  <c r="F89" i="21"/>
  <c r="G89" i="21"/>
  <c r="F90" i="21"/>
  <c r="G90" i="21"/>
  <c r="F91" i="21"/>
  <c r="G91" i="21"/>
  <c r="F92" i="21"/>
  <c r="G92" i="21"/>
  <c r="F93" i="21"/>
  <c r="G93" i="21"/>
  <c r="F94" i="21"/>
  <c r="G94" i="21"/>
  <c r="F95" i="21"/>
  <c r="G95" i="21"/>
  <c r="F96" i="21"/>
  <c r="G96" i="21"/>
  <c r="F97" i="21"/>
  <c r="G97" i="21"/>
  <c r="F98" i="21"/>
  <c r="G98" i="21"/>
  <c r="F99" i="21"/>
  <c r="G99" i="21"/>
  <c r="F100" i="21"/>
  <c r="G100" i="21"/>
  <c r="F101" i="21"/>
  <c r="G101" i="21"/>
  <c r="F102" i="21"/>
  <c r="G102" i="21"/>
  <c r="F103" i="21"/>
  <c r="G103" i="21"/>
  <c r="F104" i="21"/>
  <c r="G104" i="21"/>
  <c r="F105" i="21"/>
  <c r="G105" i="21"/>
  <c r="F106" i="21"/>
  <c r="G106" i="21"/>
  <c r="F107" i="21"/>
  <c r="G107" i="21"/>
  <c r="F108" i="21"/>
  <c r="G108" i="21"/>
  <c r="F109" i="21"/>
  <c r="G109" i="21"/>
  <c r="F110" i="21"/>
  <c r="G110" i="21"/>
  <c r="F111" i="21"/>
  <c r="G111" i="21"/>
  <c r="F112" i="21"/>
  <c r="G112" i="21"/>
  <c r="F113" i="21"/>
  <c r="G113" i="21"/>
  <c r="F114" i="21"/>
  <c r="G114" i="21"/>
  <c r="F115" i="21"/>
  <c r="G115" i="21"/>
  <c r="F116" i="21"/>
  <c r="G116" i="21"/>
  <c r="F117" i="21"/>
  <c r="G117" i="21"/>
  <c r="F118" i="21"/>
  <c r="G118" i="21"/>
  <c r="F119" i="21"/>
  <c r="G119" i="21"/>
  <c r="F120" i="21"/>
  <c r="G120" i="21"/>
  <c r="F121" i="21"/>
  <c r="G121" i="21"/>
  <c r="F122" i="21"/>
  <c r="G122" i="21"/>
  <c r="F123" i="21"/>
  <c r="G123" i="21"/>
  <c r="F124" i="21"/>
  <c r="G124" i="21"/>
  <c r="F125" i="21"/>
  <c r="G125" i="21"/>
  <c r="F126" i="21"/>
  <c r="G126" i="21"/>
  <c r="F127" i="21"/>
  <c r="G127" i="21"/>
  <c r="F128" i="21"/>
  <c r="G128" i="21"/>
  <c r="F129" i="21"/>
  <c r="G129" i="21"/>
  <c r="F130" i="21"/>
  <c r="G130" i="21"/>
  <c r="F131" i="21"/>
  <c r="G131" i="21"/>
  <c r="F132" i="21"/>
  <c r="G132" i="21"/>
  <c r="F133" i="21"/>
  <c r="G133" i="21"/>
  <c r="F134" i="21"/>
  <c r="G134" i="21"/>
  <c r="F135" i="21"/>
  <c r="G135" i="21"/>
  <c r="F136" i="21"/>
  <c r="G136" i="21"/>
  <c r="F137" i="21"/>
  <c r="G137" i="21"/>
  <c r="F138" i="21"/>
  <c r="G138" i="21"/>
  <c r="F139" i="21"/>
  <c r="G139" i="21"/>
  <c r="F140" i="21"/>
  <c r="G140" i="21"/>
  <c r="F141" i="21"/>
  <c r="G141" i="21"/>
  <c r="F142" i="21"/>
  <c r="G142" i="21"/>
  <c r="F143" i="21"/>
  <c r="G143" i="21"/>
  <c r="F144" i="21"/>
  <c r="G144" i="21"/>
  <c r="F145" i="21"/>
  <c r="G145" i="21"/>
  <c r="F146" i="21"/>
  <c r="G146" i="21"/>
  <c r="F147" i="21"/>
  <c r="G147" i="21"/>
  <c r="F148" i="21"/>
  <c r="G148" i="21"/>
  <c r="F149" i="21"/>
  <c r="G149" i="21"/>
  <c r="F150" i="21"/>
  <c r="G150" i="21"/>
  <c r="F151" i="21"/>
  <c r="G151" i="21"/>
  <c r="F152" i="21"/>
  <c r="G152" i="21"/>
  <c r="F153" i="21"/>
  <c r="G153" i="21"/>
  <c r="F154" i="21"/>
  <c r="G154" i="21"/>
  <c r="F155" i="21"/>
  <c r="G155" i="21"/>
  <c r="F156" i="21"/>
  <c r="G156" i="21"/>
  <c r="F157" i="21"/>
  <c r="G157" i="21"/>
  <c r="F158" i="21"/>
  <c r="G158" i="21"/>
  <c r="F159" i="21"/>
  <c r="G159" i="21"/>
  <c r="F160" i="21"/>
  <c r="G160" i="21"/>
  <c r="F161" i="21"/>
  <c r="G161" i="21"/>
  <c r="F162" i="21"/>
  <c r="G162" i="21"/>
  <c r="F163" i="21"/>
  <c r="G163" i="21"/>
  <c r="F164" i="21"/>
  <c r="G164" i="21"/>
  <c r="F165" i="21"/>
  <c r="G165" i="21"/>
  <c r="F166" i="21"/>
  <c r="G166" i="21"/>
  <c r="F167" i="21"/>
  <c r="G167" i="21"/>
  <c r="F168" i="21"/>
  <c r="G168" i="21"/>
  <c r="F169" i="21"/>
  <c r="G169" i="21"/>
  <c r="F170" i="21"/>
  <c r="G170" i="21"/>
  <c r="F171" i="21"/>
  <c r="G171" i="21"/>
  <c r="F172" i="21"/>
  <c r="G172" i="21"/>
  <c r="F173" i="21"/>
  <c r="G173" i="21"/>
  <c r="F174" i="21"/>
  <c r="G174" i="21"/>
  <c r="F175" i="21"/>
  <c r="G175" i="21"/>
  <c r="F176" i="21"/>
  <c r="G176" i="21"/>
  <c r="F177" i="21"/>
  <c r="G177" i="21"/>
  <c r="F178" i="21"/>
  <c r="G178" i="21"/>
  <c r="F179" i="21"/>
  <c r="G179" i="21"/>
  <c r="F180" i="21"/>
  <c r="G180" i="21"/>
  <c r="F181" i="21"/>
  <c r="G181" i="21"/>
  <c r="F182" i="21"/>
  <c r="G182" i="21"/>
  <c r="F183" i="21"/>
  <c r="G183" i="21"/>
  <c r="F184" i="21"/>
  <c r="G184" i="21"/>
  <c r="F185" i="21"/>
  <c r="G185" i="21"/>
  <c r="F186" i="21"/>
  <c r="G186" i="21"/>
  <c r="F187" i="21"/>
  <c r="G187" i="21"/>
  <c r="F188" i="21"/>
  <c r="G188" i="21"/>
  <c r="F189" i="21"/>
  <c r="G189" i="21"/>
  <c r="F190" i="21"/>
  <c r="G190" i="21"/>
  <c r="F191" i="21"/>
  <c r="G191" i="21"/>
  <c r="F192" i="21"/>
  <c r="G192" i="21"/>
  <c r="F193" i="21"/>
  <c r="G193" i="21"/>
  <c r="F194" i="21"/>
  <c r="G194" i="21"/>
  <c r="F195" i="21"/>
  <c r="G195" i="21"/>
  <c r="F196" i="21"/>
  <c r="G196" i="21"/>
  <c r="F197" i="21"/>
  <c r="G197" i="21"/>
  <c r="F198" i="21"/>
  <c r="G198" i="21"/>
  <c r="F199" i="21"/>
  <c r="G199" i="21"/>
  <c r="F200" i="21"/>
  <c r="G200" i="21"/>
  <c r="F201" i="21"/>
  <c r="G201" i="21"/>
  <c r="F202" i="21"/>
  <c r="G202" i="21"/>
  <c r="F203" i="21"/>
  <c r="G203" i="21"/>
  <c r="F204" i="21"/>
  <c r="G204" i="21"/>
  <c r="F205" i="21"/>
  <c r="G205" i="21"/>
  <c r="F206" i="21"/>
  <c r="G206" i="21"/>
  <c r="F207" i="21"/>
  <c r="G207" i="21"/>
  <c r="F208" i="21"/>
  <c r="G208" i="21"/>
  <c r="F209" i="21"/>
  <c r="G209" i="21"/>
  <c r="F210" i="21"/>
  <c r="G210" i="21"/>
  <c r="F211" i="21"/>
  <c r="G211" i="21"/>
  <c r="F212" i="21"/>
  <c r="G212" i="21"/>
  <c r="F213" i="21"/>
  <c r="G213" i="21"/>
  <c r="F214" i="21"/>
  <c r="G214" i="21"/>
  <c r="F215" i="21"/>
  <c r="G215" i="21"/>
  <c r="F216" i="21"/>
  <c r="G216" i="21"/>
  <c r="F217" i="21"/>
  <c r="G217" i="21"/>
  <c r="F218" i="21"/>
  <c r="G218" i="21"/>
  <c r="F219" i="21"/>
  <c r="G219" i="21"/>
  <c r="F220" i="21"/>
  <c r="G220" i="21"/>
  <c r="F221" i="21"/>
  <c r="G221" i="21"/>
  <c r="F222" i="21"/>
  <c r="G222" i="21"/>
  <c r="F223" i="21"/>
  <c r="G223" i="21"/>
  <c r="F224" i="21"/>
  <c r="G224" i="21"/>
  <c r="F225" i="21"/>
  <c r="G225" i="21"/>
  <c r="F226" i="21"/>
  <c r="G226" i="21"/>
  <c r="F227" i="21"/>
  <c r="G227" i="21"/>
  <c r="F228" i="21"/>
  <c r="G228" i="21"/>
  <c r="F229" i="21"/>
  <c r="G229" i="21"/>
  <c r="F230" i="21"/>
  <c r="G230" i="21"/>
  <c r="F231" i="21"/>
  <c r="G231" i="21"/>
  <c r="F232" i="21"/>
  <c r="G232" i="21"/>
  <c r="F233" i="21"/>
  <c r="G233" i="21"/>
  <c r="F234" i="21"/>
  <c r="G234" i="21"/>
  <c r="F235" i="21"/>
  <c r="G235" i="21"/>
  <c r="F236" i="21"/>
  <c r="G236" i="21"/>
  <c r="F237" i="21"/>
  <c r="G237" i="21"/>
  <c r="F238" i="21"/>
  <c r="G238" i="21"/>
  <c r="F239" i="21"/>
  <c r="G239" i="21"/>
  <c r="F240" i="21"/>
  <c r="G240" i="21"/>
  <c r="F241" i="21"/>
  <c r="G241" i="21"/>
  <c r="F242" i="21"/>
  <c r="G242" i="21"/>
  <c r="F243" i="21"/>
  <c r="G243" i="21"/>
  <c r="F244" i="21"/>
  <c r="G244" i="21"/>
  <c r="F245" i="21"/>
  <c r="G245" i="21"/>
  <c r="F246" i="21"/>
  <c r="G246" i="21"/>
  <c r="F247" i="21"/>
  <c r="G247" i="21"/>
  <c r="F248" i="21"/>
  <c r="G248" i="21"/>
  <c r="F249" i="21"/>
  <c r="G249" i="21"/>
  <c r="F250" i="21"/>
  <c r="G250" i="21"/>
  <c r="F251" i="21"/>
  <c r="G251" i="21"/>
  <c r="F252" i="21"/>
  <c r="G252" i="21"/>
  <c r="F253" i="21"/>
  <c r="G253" i="21"/>
  <c r="F254" i="21"/>
  <c r="G254" i="21"/>
  <c r="F255" i="21"/>
  <c r="G255" i="21"/>
  <c r="F256" i="21"/>
  <c r="G256" i="21"/>
  <c r="F257" i="21"/>
  <c r="G257" i="21"/>
  <c r="F258" i="21"/>
  <c r="G258" i="21"/>
  <c r="G2" i="21"/>
  <c r="F2" i="21"/>
  <c r="E2" i="21"/>
  <c r="F12" i="20"/>
  <c r="G12" i="20"/>
  <c r="H12" i="20"/>
  <c r="I12" i="20"/>
  <c r="J12" i="20"/>
  <c r="K12" i="20"/>
  <c r="L12" i="20"/>
  <c r="M12" i="20"/>
  <c r="N12" i="20"/>
  <c r="O12" i="20"/>
  <c r="P12" i="20"/>
  <c r="Q12" i="20"/>
  <c r="R12" i="20"/>
  <c r="S12" i="20"/>
  <c r="T12" i="20"/>
  <c r="U12" i="20"/>
  <c r="V12" i="20"/>
  <c r="W12" i="20"/>
  <c r="X12" i="20"/>
  <c r="Y12" i="20"/>
  <c r="Z12" i="20"/>
  <c r="AA12" i="20"/>
  <c r="AB12" i="20"/>
  <c r="AC12" i="20"/>
  <c r="AD12" i="20"/>
  <c r="AE12" i="20"/>
  <c r="AF12" i="20"/>
  <c r="C6" i="19" s="1"/>
  <c r="AG12" i="20"/>
  <c r="AH12" i="20"/>
  <c r="AI12" i="20"/>
  <c r="AJ12" i="20"/>
  <c r="AK12" i="20"/>
  <c r="AL12" i="20"/>
  <c r="AM12" i="20"/>
  <c r="E1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J5" i="19" s="1"/>
  <c r="AG2" i="20"/>
  <c r="AH2" i="20"/>
  <c r="AI2" i="20"/>
  <c r="AJ2" i="20"/>
  <c r="AK2" i="20"/>
  <c r="AL2" i="20"/>
  <c r="AM2" i="20"/>
  <c r="E2" i="20"/>
  <c r="A2" i="21"/>
  <c r="C2" i="21"/>
  <c r="B2" i="21"/>
  <c r="C3" i="21"/>
  <c r="B3" i="21"/>
  <c r="H2" i="19"/>
  <c r="AV19" i="20" l="1"/>
  <c r="AW19" i="20"/>
  <c r="AV8" i="20"/>
  <c r="AW8" i="20"/>
  <c r="AT19" i="20"/>
  <c r="AU19" i="20"/>
  <c r="AT8" i="20"/>
  <c r="AU8" i="20"/>
  <c r="AR8" i="20"/>
  <c r="AS8" i="20"/>
  <c r="AR19" i="20"/>
  <c r="AS19" i="20"/>
  <c r="AP19" i="20"/>
  <c r="AQ19" i="20"/>
  <c r="AQ8" i="20"/>
  <c r="AP8" i="20"/>
  <c r="B20" i="20"/>
  <c r="AX20" i="20" s="1"/>
  <c r="B9" i="20"/>
  <c r="AX9" i="20" s="1"/>
  <c r="A3" i="19"/>
  <c r="AO19" i="20"/>
  <c r="AO8" i="20"/>
  <c r="C5" i="19"/>
  <c r="AN18" i="20"/>
  <c r="AN7" i="20"/>
  <c r="B14" i="20"/>
  <c r="B17" i="20" s="1"/>
  <c r="E1" i="21"/>
  <c r="I5" i="19"/>
  <c r="J6" i="19"/>
  <c r="I6" i="19"/>
  <c r="A1" i="21"/>
  <c r="A8" i="20"/>
  <c r="A19" i="20"/>
  <c r="B18" i="20"/>
  <c r="B7" i="20"/>
  <c r="J14" i="21"/>
  <c r="J29" i="21"/>
  <c r="B3" i="20"/>
  <c r="B6" i="20" s="1"/>
  <c r="BG29" i="21" l="1"/>
  <c r="BF29" i="21"/>
  <c r="BG14" i="21"/>
  <c r="BF14" i="21"/>
  <c r="AV9" i="20"/>
  <c r="AW9" i="20"/>
  <c r="AV20" i="20"/>
  <c r="AW20" i="20"/>
  <c r="BE29" i="21"/>
  <c r="BD29" i="21"/>
  <c r="BE14" i="21"/>
  <c r="BD14" i="21"/>
  <c r="AT20" i="20"/>
  <c r="AU20" i="20"/>
  <c r="AT9" i="20"/>
  <c r="AU9" i="20"/>
  <c r="BB14" i="21"/>
  <c r="BC14" i="21"/>
  <c r="BB29" i="21"/>
  <c r="BC29" i="21"/>
  <c r="AR9" i="20"/>
  <c r="AS9" i="20"/>
  <c r="AR20" i="20"/>
  <c r="AS20" i="20"/>
  <c r="AZ29" i="21"/>
  <c r="BA29" i="21"/>
  <c r="AZ14" i="21"/>
  <c r="BA14" i="21"/>
  <c r="AQ9" i="20"/>
  <c r="AP9" i="20"/>
  <c r="AQ20" i="20"/>
  <c r="AP20" i="20"/>
  <c r="E9" i="20"/>
  <c r="AX29" i="21"/>
  <c r="AY29" i="21"/>
  <c r="AX14" i="21"/>
  <c r="AY14" i="21"/>
  <c r="AO9" i="20"/>
  <c r="AO20" i="20"/>
  <c r="AA29" i="21"/>
  <c r="AQ29" i="21"/>
  <c r="X29" i="21"/>
  <c r="AN29" i="21"/>
  <c r="U29" i="21"/>
  <c r="AK29" i="21"/>
  <c r="R29" i="21"/>
  <c r="AH29" i="21"/>
  <c r="N29" i="21"/>
  <c r="O29" i="21"/>
  <c r="AE29" i="21"/>
  <c r="AU29" i="21"/>
  <c r="AB29" i="21"/>
  <c r="AR29" i="21"/>
  <c r="Y29" i="21"/>
  <c r="AO29" i="21"/>
  <c r="V29" i="21"/>
  <c r="AL29" i="21"/>
  <c r="S29" i="21"/>
  <c r="AI29" i="21"/>
  <c r="P29" i="21"/>
  <c r="AF29" i="21"/>
  <c r="AV29" i="21"/>
  <c r="AC29" i="21"/>
  <c r="AS29" i="21"/>
  <c r="Z29" i="21"/>
  <c r="AP29" i="21"/>
  <c r="W29" i="21"/>
  <c r="AM29" i="21"/>
  <c r="T29" i="21"/>
  <c r="AJ29" i="21"/>
  <c r="Q29" i="21"/>
  <c r="AG29" i="21"/>
  <c r="AW29" i="21"/>
  <c r="AD29" i="21"/>
  <c r="AT29" i="21"/>
  <c r="AB14" i="21"/>
  <c r="AR14" i="21"/>
  <c r="Y14" i="21"/>
  <c r="AO14" i="21"/>
  <c r="V14" i="21"/>
  <c r="AL14" i="21"/>
  <c r="S14" i="21"/>
  <c r="AI14" i="21"/>
  <c r="P14" i="21"/>
  <c r="AF14" i="21"/>
  <c r="AV14" i="21"/>
  <c r="AC14" i="21"/>
  <c r="AS14" i="21"/>
  <c r="Z14" i="21"/>
  <c r="AP14" i="21"/>
  <c r="W14" i="21"/>
  <c r="AM14" i="21"/>
  <c r="N14" i="21"/>
  <c r="T14" i="21"/>
  <c r="AJ14" i="21"/>
  <c r="Q14" i="21"/>
  <c r="AG14" i="21"/>
  <c r="AW14" i="21"/>
  <c r="AD14" i="21"/>
  <c r="AT14" i="21"/>
  <c r="AA14" i="21"/>
  <c r="AQ14" i="21"/>
  <c r="X14" i="21"/>
  <c r="AN14" i="21"/>
  <c r="U14" i="21"/>
  <c r="AK14" i="21"/>
  <c r="R14" i="21"/>
  <c r="AH14" i="21"/>
  <c r="O14" i="21"/>
  <c r="AE14" i="21"/>
  <c r="AU14" i="21"/>
  <c r="K29" i="21"/>
  <c r="I39" i="19" s="1"/>
  <c r="J39" i="19" s="1"/>
  <c r="K39" i="19" s="1"/>
  <c r="E6" i="21"/>
  <c r="E10" i="21"/>
  <c r="E14" i="21"/>
  <c r="E18" i="21"/>
  <c r="E22" i="21"/>
  <c r="E26" i="21"/>
  <c r="E30" i="21"/>
  <c r="E34" i="21"/>
  <c r="E38" i="21"/>
  <c r="E42" i="21"/>
  <c r="E46" i="21"/>
  <c r="E50" i="21"/>
  <c r="E54" i="21"/>
  <c r="E58" i="21"/>
  <c r="E62" i="21"/>
  <c r="E66" i="21"/>
  <c r="E70" i="21"/>
  <c r="E74" i="21"/>
  <c r="E78" i="21"/>
  <c r="E82" i="21"/>
  <c r="E86" i="21"/>
  <c r="E90" i="21"/>
  <c r="E94" i="21"/>
  <c r="E98" i="21"/>
  <c r="E102" i="21"/>
  <c r="E106" i="21"/>
  <c r="E110" i="21"/>
  <c r="E114" i="21"/>
  <c r="E118" i="21"/>
  <c r="E122" i="21"/>
  <c r="E126" i="21"/>
  <c r="E130" i="21"/>
  <c r="E134" i="21"/>
  <c r="E138" i="21"/>
  <c r="E142" i="21"/>
  <c r="E146" i="21"/>
  <c r="E150" i="21"/>
  <c r="E154" i="21"/>
  <c r="E158" i="21"/>
  <c r="E162" i="21"/>
  <c r="E166" i="21"/>
  <c r="E170" i="21"/>
  <c r="E174" i="21"/>
  <c r="E178" i="21"/>
  <c r="E182" i="21"/>
  <c r="E186" i="21"/>
  <c r="E190" i="21"/>
  <c r="E194" i="21"/>
  <c r="E198" i="21"/>
  <c r="E202" i="21"/>
  <c r="E206" i="21"/>
  <c r="E210" i="21"/>
  <c r="E214" i="21"/>
  <c r="E218" i="21"/>
  <c r="E222" i="21"/>
  <c r="E226" i="21"/>
  <c r="E230" i="21"/>
  <c r="E234" i="21"/>
  <c r="E238" i="21"/>
  <c r="E242" i="21"/>
  <c r="E246" i="21"/>
  <c r="E250" i="21"/>
  <c r="E254" i="21"/>
  <c r="E258" i="21"/>
  <c r="E262" i="21"/>
  <c r="K14" i="21"/>
  <c r="C39" i="19" s="1"/>
  <c r="D39" i="19" s="1"/>
  <c r="E39" i="19" s="1"/>
  <c r="E7" i="21"/>
  <c r="E11" i="21"/>
  <c r="E15" i="21"/>
  <c r="E19" i="21"/>
  <c r="E23" i="21"/>
  <c r="E27" i="21"/>
  <c r="E31" i="21"/>
  <c r="E35" i="21"/>
  <c r="E39" i="21"/>
  <c r="E43" i="21"/>
  <c r="E47" i="21"/>
  <c r="E51" i="21"/>
  <c r="E55" i="21"/>
  <c r="E59" i="21"/>
  <c r="E63" i="21"/>
  <c r="E67" i="21"/>
  <c r="E71" i="21"/>
  <c r="E75" i="21"/>
  <c r="E79" i="21"/>
  <c r="E83" i="21"/>
  <c r="E87" i="21"/>
  <c r="E91" i="21"/>
  <c r="E95" i="21"/>
  <c r="E99" i="21"/>
  <c r="E103" i="21"/>
  <c r="E107" i="21"/>
  <c r="E111" i="21"/>
  <c r="E115" i="21"/>
  <c r="E119" i="21"/>
  <c r="E123" i="21"/>
  <c r="E127" i="21"/>
  <c r="E131" i="21"/>
  <c r="E135" i="21"/>
  <c r="E139" i="21"/>
  <c r="E143" i="21"/>
  <c r="E147" i="21"/>
  <c r="E151" i="21"/>
  <c r="E155" i="21"/>
  <c r="E159" i="21"/>
  <c r="E163" i="21"/>
  <c r="E167" i="21"/>
  <c r="E171" i="21"/>
  <c r="E175" i="21"/>
  <c r="E179" i="21"/>
  <c r="E183" i="21"/>
  <c r="E187" i="21"/>
  <c r="E191" i="21"/>
  <c r="E195" i="21"/>
  <c r="E199" i="21"/>
  <c r="E203" i="21"/>
  <c r="E207" i="21"/>
  <c r="E211" i="21"/>
  <c r="E215" i="21"/>
  <c r="E219" i="21"/>
  <c r="E223" i="21"/>
  <c r="E227" i="21"/>
  <c r="E231" i="21"/>
  <c r="E235" i="21"/>
  <c r="E239" i="21"/>
  <c r="E243" i="21"/>
  <c r="E247" i="21"/>
  <c r="E251" i="21"/>
  <c r="E255" i="21"/>
  <c r="E259" i="21"/>
  <c r="E263" i="21"/>
  <c r="A5" i="21"/>
  <c r="A9" i="21"/>
  <c r="A13" i="21"/>
  <c r="A17" i="21"/>
  <c r="A21" i="21"/>
  <c r="A25" i="21"/>
  <c r="A29" i="21"/>
  <c r="A33" i="21"/>
  <c r="A37" i="21"/>
  <c r="A41" i="21"/>
  <c r="A45" i="21"/>
  <c r="A49" i="21"/>
  <c r="A53" i="21"/>
  <c r="E4" i="21"/>
  <c r="E8" i="21"/>
  <c r="E12" i="21"/>
  <c r="E16" i="21"/>
  <c r="E20" i="21"/>
  <c r="E24" i="21"/>
  <c r="E28" i="21"/>
  <c r="E32" i="21"/>
  <c r="E36" i="21"/>
  <c r="E40" i="21"/>
  <c r="E44" i="21"/>
  <c r="E48" i="21"/>
  <c r="E52" i="21"/>
  <c r="E56" i="21"/>
  <c r="E60" i="21"/>
  <c r="E64" i="21"/>
  <c r="E68" i="21"/>
  <c r="E72" i="21"/>
  <c r="E76" i="21"/>
  <c r="E80" i="21"/>
  <c r="E84" i="21"/>
  <c r="E88" i="21"/>
  <c r="E92" i="21"/>
  <c r="E96" i="21"/>
  <c r="E100" i="21"/>
  <c r="E104" i="21"/>
  <c r="E108" i="21"/>
  <c r="E112" i="21"/>
  <c r="E116" i="21"/>
  <c r="E120" i="21"/>
  <c r="E124" i="21"/>
  <c r="E128" i="21"/>
  <c r="E132" i="21"/>
  <c r="E136" i="21"/>
  <c r="E140" i="21"/>
  <c r="E144" i="21"/>
  <c r="E148" i="21"/>
  <c r="E152" i="21"/>
  <c r="E156" i="21"/>
  <c r="E160" i="21"/>
  <c r="E164" i="21"/>
  <c r="E168" i="21"/>
  <c r="E172" i="21"/>
  <c r="E176" i="21"/>
  <c r="E180" i="21"/>
  <c r="E184" i="21"/>
  <c r="E188" i="21"/>
  <c r="E192" i="21"/>
  <c r="E196" i="21"/>
  <c r="E200" i="21"/>
  <c r="E204" i="21"/>
  <c r="E208" i="21"/>
  <c r="E212" i="21"/>
  <c r="E216" i="21"/>
  <c r="E220" i="21"/>
  <c r="E224" i="21"/>
  <c r="E228" i="21"/>
  <c r="E232" i="21"/>
  <c r="E236" i="21"/>
  <c r="E240" i="21"/>
  <c r="E244" i="21"/>
  <c r="E248" i="21"/>
  <c r="E252" i="21"/>
  <c r="E256" i="21"/>
  <c r="E5" i="21"/>
  <c r="E9" i="21"/>
  <c r="E13" i="21"/>
  <c r="E17" i="21"/>
  <c r="E21" i="21"/>
  <c r="E25" i="21"/>
  <c r="E29" i="21"/>
  <c r="E33" i="21"/>
  <c r="E37" i="21"/>
  <c r="E41" i="21"/>
  <c r="E45" i="21"/>
  <c r="E49" i="21"/>
  <c r="E53" i="21"/>
  <c r="E57" i="21"/>
  <c r="E61" i="21"/>
  <c r="E65" i="21"/>
  <c r="E69" i="21"/>
  <c r="E73" i="21"/>
  <c r="E77" i="21"/>
  <c r="E81" i="21"/>
  <c r="E85" i="21"/>
  <c r="E89" i="21"/>
  <c r="E93" i="21"/>
  <c r="E97" i="21"/>
  <c r="E101" i="21"/>
  <c r="E105" i="21"/>
  <c r="E109" i="21"/>
  <c r="E113" i="21"/>
  <c r="E117" i="21"/>
  <c r="E121" i="21"/>
  <c r="E125" i="21"/>
  <c r="E129" i="21"/>
  <c r="E133" i="21"/>
  <c r="E137" i="21"/>
  <c r="E141" i="21"/>
  <c r="E145" i="21"/>
  <c r="E149" i="21"/>
  <c r="E153" i="21"/>
  <c r="E157" i="21"/>
  <c r="E161" i="21"/>
  <c r="E165" i="21"/>
  <c r="E169" i="21"/>
  <c r="E173" i="21"/>
  <c r="E177" i="21"/>
  <c r="E181" i="21"/>
  <c r="E185" i="21"/>
  <c r="E189" i="21"/>
  <c r="E193" i="21"/>
  <c r="E197" i="21"/>
  <c r="E201" i="21"/>
  <c r="E205" i="21"/>
  <c r="E209" i="21"/>
  <c r="E213" i="21"/>
  <c r="E217" i="21"/>
  <c r="E221" i="21"/>
  <c r="E225" i="21"/>
  <c r="E229" i="21"/>
  <c r="E233" i="21"/>
  <c r="E237" i="21"/>
  <c r="E241" i="21"/>
  <c r="E245" i="21"/>
  <c r="E249" i="21"/>
  <c r="E253" i="21"/>
  <c r="E257" i="21"/>
  <c r="E261" i="21"/>
  <c r="E3" i="21"/>
  <c r="A7" i="21"/>
  <c r="A11" i="21"/>
  <c r="A15" i="21"/>
  <c r="A19" i="21"/>
  <c r="A23" i="21"/>
  <c r="A27" i="21"/>
  <c r="A31" i="21"/>
  <c r="A35" i="21"/>
  <c r="A39" i="21"/>
  <c r="A43" i="21"/>
  <c r="A47" i="21"/>
  <c r="A51" i="21"/>
  <c r="A55" i="21"/>
  <c r="A59" i="21"/>
  <c r="A63" i="21"/>
  <c r="A67" i="21"/>
  <c r="A71" i="21"/>
  <c r="A75" i="21"/>
  <c r="A79" i="21"/>
  <c r="E260" i="21"/>
  <c r="A8" i="21"/>
  <c r="A16" i="21"/>
  <c r="A24" i="21"/>
  <c r="A32" i="21"/>
  <c r="A40" i="21"/>
  <c r="A48" i="21"/>
  <c r="A56" i="21"/>
  <c r="A61" i="21"/>
  <c r="A66" i="21"/>
  <c r="A72" i="21"/>
  <c r="A77" i="21"/>
  <c r="A82" i="21"/>
  <c r="A86" i="21"/>
  <c r="A90" i="21"/>
  <c r="A94" i="21"/>
  <c r="A98" i="21"/>
  <c r="A102" i="21"/>
  <c r="A106" i="21"/>
  <c r="A110" i="21"/>
  <c r="A114" i="21"/>
  <c r="A118" i="21"/>
  <c r="A122" i="21"/>
  <c r="A126" i="21"/>
  <c r="A130" i="21"/>
  <c r="A134" i="21"/>
  <c r="A138" i="21"/>
  <c r="A142" i="21"/>
  <c r="A146" i="21"/>
  <c r="A150" i="21"/>
  <c r="A154" i="21"/>
  <c r="A158" i="21"/>
  <c r="A162" i="21"/>
  <c r="A166" i="21"/>
  <c r="A170" i="21"/>
  <c r="A174" i="21"/>
  <c r="A178" i="21"/>
  <c r="A182" i="21"/>
  <c r="A186" i="21"/>
  <c r="A190" i="21"/>
  <c r="A194" i="21"/>
  <c r="A198" i="21"/>
  <c r="A202" i="21"/>
  <c r="A206" i="21"/>
  <c r="A210" i="21"/>
  <c r="A214" i="21"/>
  <c r="A218" i="21"/>
  <c r="A222" i="21"/>
  <c r="A226" i="21"/>
  <c r="A230" i="21"/>
  <c r="A234" i="21"/>
  <c r="A238" i="21"/>
  <c r="A246" i="21"/>
  <c r="A254" i="21"/>
  <c r="A258" i="21"/>
  <c r="A264" i="21"/>
  <c r="E264" i="21"/>
  <c r="A10" i="21"/>
  <c r="A18" i="21"/>
  <c r="A26" i="21"/>
  <c r="A34" i="21"/>
  <c r="A42" i="21"/>
  <c r="A50" i="21"/>
  <c r="A57" i="21"/>
  <c r="A62" i="21"/>
  <c r="A68" i="21"/>
  <c r="A73" i="21"/>
  <c r="A78" i="21"/>
  <c r="A83" i="21"/>
  <c r="A87" i="21"/>
  <c r="A91" i="21"/>
  <c r="A95" i="21"/>
  <c r="A99" i="21"/>
  <c r="A103" i="21"/>
  <c r="A107" i="21"/>
  <c r="A111" i="21"/>
  <c r="A115" i="21"/>
  <c r="A119" i="21"/>
  <c r="A123" i="21"/>
  <c r="A127" i="21"/>
  <c r="A131" i="21"/>
  <c r="A135" i="21"/>
  <c r="A139" i="21"/>
  <c r="A143" i="21"/>
  <c r="A147" i="21"/>
  <c r="A151" i="21"/>
  <c r="A155" i="21"/>
  <c r="A159" i="21"/>
  <c r="A163" i="21"/>
  <c r="A167" i="21"/>
  <c r="A171" i="21"/>
  <c r="A175" i="21"/>
  <c r="A179" i="21"/>
  <c r="A183" i="21"/>
  <c r="A187" i="21"/>
  <c r="A191" i="21"/>
  <c r="A195" i="21"/>
  <c r="A199" i="21"/>
  <c r="A203" i="21"/>
  <c r="A207" i="21"/>
  <c r="A211" i="21"/>
  <c r="A215" i="21"/>
  <c r="A219" i="21"/>
  <c r="A223" i="21"/>
  <c r="A227" i="21"/>
  <c r="A231" i="21"/>
  <c r="A235" i="21"/>
  <c r="A239" i="21"/>
  <c r="A243" i="21"/>
  <c r="A247" i="21"/>
  <c r="A251" i="21"/>
  <c r="A255" i="21"/>
  <c r="A259" i="21"/>
  <c r="A263" i="21"/>
  <c r="A4" i="21"/>
  <c r="A12" i="21"/>
  <c r="A20" i="21"/>
  <c r="A28" i="21"/>
  <c r="A36" i="21"/>
  <c r="A44" i="21"/>
  <c r="A52" i="21"/>
  <c r="A58" i="21"/>
  <c r="A64" i="21"/>
  <c r="A69" i="21"/>
  <c r="A74" i="21"/>
  <c r="A80" i="21"/>
  <c r="A84" i="21"/>
  <c r="A88" i="21"/>
  <c r="A92" i="21"/>
  <c r="A96" i="21"/>
  <c r="A100" i="21"/>
  <c r="A104" i="21"/>
  <c r="A108" i="21"/>
  <c r="A112" i="21"/>
  <c r="A116" i="21"/>
  <c r="A120" i="21"/>
  <c r="A124" i="21"/>
  <c r="A128" i="21"/>
  <c r="A132" i="21"/>
  <c r="A136" i="21"/>
  <c r="A140" i="21"/>
  <c r="A144" i="21"/>
  <c r="A148" i="21"/>
  <c r="A152" i="21"/>
  <c r="A156" i="21"/>
  <c r="A160" i="21"/>
  <c r="A164" i="21"/>
  <c r="A168" i="21"/>
  <c r="A172" i="21"/>
  <c r="A176" i="21"/>
  <c r="A180" i="21"/>
  <c r="A184" i="21"/>
  <c r="A188" i="21"/>
  <c r="A192" i="21"/>
  <c r="A196" i="21"/>
  <c r="A200" i="21"/>
  <c r="A204" i="21"/>
  <c r="A208" i="21"/>
  <c r="A212" i="21"/>
  <c r="A216" i="21"/>
  <c r="A220" i="21"/>
  <c r="A224" i="21"/>
  <c r="A228" i="21"/>
  <c r="A232" i="21"/>
  <c r="A236" i="21"/>
  <c r="A240" i="21"/>
  <c r="A244" i="21"/>
  <c r="A248" i="21"/>
  <c r="A252" i="21"/>
  <c r="A256" i="21"/>
  <c r="A260" i="21"/>
  <c r="A6" i="21"/>
  <c r="A14" i="21"/>
  <c r="A22" i="21"/>
  <c r="A30" i="21"/>
  <c r="A38" i="21"/>
  <c r="A46" i="21"/>
  <c r="A54" i="21"/>
  <c r="A60" i="21"/>
  <c r="A65" i="21"/>
  <c r="A70" i="21"/>
  <c r="A76" i="21"/>
  <c r="A81" i="21"/>
  <c r="A85" i="21"/>
  <c r="A89" i="21"/>
  <c r="A93" i="21"/>
  <c r="A97" i="21"/>
  <c r="A101" i="21"/>
  <c r="A105" i="21"/>
  <c r="A109" i="21"/>
  <c r="A113" i="21"/>
  <c r="A117" i="21"/>
  <c r="A121" i="21"/>
  <c r="A125" i="21"/>
  <c r="A129" i="21"/>
  <c r="A133" i="21"/>
  <c r="A137" i="21"/>
  <c r="A141" i="21"/>
  <c r="A145" i="21"/>
  <c r="A149" i="21"/>
  <c r="A153" i="21"/>
  <c r="A157" i="21"/>
  <c r="A161" i="21"/>
  <c r="A165" i="21"/>
  <c r="A169" i="21"/>
  <c r="A173" i="21"/>
  <c r="A177" i="21"/>
  <c r="A181" i="21"/>
  <c r="A185" i="21"/>
  <c r="A189" i="21"/>
  <c r="A193" i="21"/>
  <c r="A197" i="21"/>
  <c r="A201" i="21"/>
  <c r="A205" i="21"/>
  <c r="A209" i="21"/>
  <c r="A213" i="21"/>
  <c r="A217" i="21"/>
  <c r="A221" i="21"/>
  <c r="A225" i="21"/>
  <c r="A229" i="21"/>
  <c r="A233" i="21"/>
  <c r="A237" i="21"/>
  <c r="A241" i="21"/>
  <c r="A245" i="21"/>
  <c r="A249" i="21"/>
  <c r="A253" i="21"/>
  <c r="A257" i="21"/>
  <c r="A261" i="21"/>
  <c r="A3" i="21"/>
  <c r="A242" i="21"/>
  <c r="A250" i="21"/>
  <c r="A262" i="21"/>
  <c r="H8" i="20"/>
  <c r="L8" i="20"/>
  <c r="P8" i="20"/>
  <c r="T8" i="20"/>
  <c r="X8" i="20"/>
  <c r="AB8" i="20"/>
  <c r="AF8" i="20"/>
  <c r="AJ8" i="20"/>
  <c r="AN8" i="20"/>
  <c r="F8" i="20"/>
  <c r="N8" i="20"/>
  <c r="V8" i="20"/>
  <c r="AD8" i="20"/>
  <c r="AL8" i="20"/>
  <c r="G8" i="20"/>
  <c r="K8" i="20"/>
  <c r="O8" i="20"/>
  <c r="S8" i="20"/>
  <c r="W8" i="20"/>
  <c r="AA8" i="20"/>
  <c r="AE8" i="20"/>
  <c r="AI8" i="20"/>
  <c r="AM8" i="20"/>
  <c r="I8" i="20"/>
  <c r="M8" i="20"/>
  <c r="Q8" i="20"/>
  <c r="U8" i="20"/>
  <c r="Y8" i="20"/>
  <c r="AC8" i="20"/>
  <c r="AG8" i="20"/>
  <c r="AK8" i="20"/>
  <c r="E8" i="20"/>
  <c r="J8" i="20"/>
  <c r="R8" i="20"/>
  <c r="Z8" i="20"/>
  <c r="AH8" i="20"/>
  <c r="H19" i="20"/>
  <c r="L19" i="20"/>
  <c r="P19" i="20"/>
  <c r="T19" i="20"/>
  <c r="X19" i="20"/>
  <c r="AB19" i="20"/>
  <c r="AF19" i="20"/>
  <c r="AJ19" i="20"/>
  <c r="AN19" i="20"/>
  <c r="F19" i="20"/>
  <c r="N19" i="20"/>
  <c r="V19" i="20"/>
  <c r="AD19" i="20"/>
  <c r="AL19" i="20"/>
  <c r="G19" i="20"/>
  <c r="K19" i="20"/>
  <c r="O19" i="20"/>
  <c r="S19" i="20"/>
  <c r="W19" i="20"/>
  <c r="AA19" i="20"/>
  <c r="AE19" i="20"/>
  <c r="AI19" i="20"/>
  <c r="AM19" i="20"/>
  <c r="I19" i="20"/>
  <c r="M19" i="20"/>
  <c r="Q19" i="20"/>
  <c r="U19" i="20"/>
  <c r="Y19" i="20"/>
  <c r="AC19" i="20"/>
  <c r="AG19" i="20"/>
  <c r="AK19" i="20"/>
  <c r="E19" i="20"/>
  <c r="J19" i="20"/>
  <c r="R19" i="20"/>
  <c r="Z19" i="20"/>
  <c r="AH19" i="20"/>
  <c r="L29" i="21"/>
  <c r="M29" i="21"/>
  <c r="M14" i="21"/>
  <c r="L14" i="21"/>
  <c r="AC7" i="20"/>
  <c r="I7" i="19"/>
  <c r="F7" i="19" s="1"/>
  <c r="J7" i="19"/>
  <c r="V7" i="20"/>
  <c r="H18" i="20"/>
  <c r="I18" i="20"/>
  <c r="G18" i="20"/>
  <c r="AG7" i="20"/>
  <c r="D5" i="19"/>
  <c r="D6" i="19"/>
  <c r="H39" i="19"/>
  <c r="B39" i="19"/>
  <c r="L7" i="20"/>
  <c r="M7" i="20"/>
  <c r="T7" i="20"/>
  <c r="N7" i="20"/>
  <c r="AI7" i="20"/>
  <c r="W7" i="20"/>
  <c r="AB7" i="20"/>
  <c r="Z7" i="20"/>
  <c r="AE7" i="20"/>
  <c r="AF7" i="20"/>
  <c r="S7" i="20"/>
  <c r="O7" i="20"/>
  <c r="AJ7" i="20"/>
  <c r="AK7" i="20"/>
  <c r="AA7" i="20"/>
  <c r="G7" i="20"/>
  <c r="X7" i="20"/>
  <c r="Q7" i="20"/>
  <c r="K3" i="21" l="1"/>
  <c r="J3" i="21" s="1"/>
  <c r="D7" i="19"/>
  <c r="B7" i="19" s="1"/>
  <c r="I20" i="20"/>
  <c r="AN20" i="20"/>
  <c r="F9" i="20"/>
  <c r="AN9" i="20"/>
  <c r="K5" i="21"/>
  <c r="C30" i="19" s="1"/>
  <c r="D30" i="19" s="1"/>
  <c r="E30" i="19" s="1"/>
  <c r="K26" i="21"/>
  <c r="I36" i="19" s="1"/>
  <c r="J36" i="19" s="1"/>
  <c r="K36" i="19" s="1"/>
  <c r="K20" i="21"/>
  <c r="J20" i="21" s="1"/>
  <c r="K24" i="21"/>
  <c r="J24" i="21" s="1"/>
  <c r="I29" i="21"/>
  <c r="G39" i="19" s="1"/>
  <c r="K12" i="21"/>
  <c r="C37" i="19" s="1"/>
  <c r="D37" i="19" s="1"/>
  <c r="E37" i="19" s="1"/>
  <c r="K8" i="21"/>
  <c r="J8" i="21" s="1"/>
  <c r="K9" i="21"/>
  <c r="J9" i="21" s="1"/>
  <c r="K4" i="21"/>
  <c r="C29" i="19" s="1"/>
  <c r="D29" i="19" s="1"/>
  <c r="E29" i="19" s="1"/>
  <c r="K21" i="21"/>
  <c r="I31" i="19" s="1"/>
  <c r="J31" i="19" s="1"/>
  <c r="K31" i="19" s="1"/>
  <c r="K10" i="21"/>
  <c r="C35" i="19" s="1"/>
  <c r="D35" i="19" s="1"/>
  <c r="E35" i="19" s="1"/>
  <c r="K27" i="21"/>
  <c r="J27" i="21" s="1"/>
  <c r="K22" i="21"/>
  <c r="J22" i="21" s="1"/>
  <c r="K6" i="21"/>
  <c r="C31" i="19" s="1"/>
  <c r="D31" i="19" s="1"/>
  <c r="E31" i="19" s="1"/>
  <c r="K7" i="21"/>
  <c r="C32" i="19" s="1"/>
  <c r="D32" i="19" s="1"/>
  <c r="E32" i="19" s="1"/>
  <c r="K18" i="21"/>
  <c r="J18" i="21" s="1"/>
  <c r="K23" i="21"/>
  <c r="J23" i="21" s="1"/>
  <c r="K25" i="21"/>
  <c r="J25" i="21" s="1"/>
  <c r="K11" i="21"/>
  <c r="C36" i="19" s="1"/>
  <c r="D36" i="19" s="1"/>
  <c r="E36" i="19" s="1"/>
  <c r="K19" i="21"/>
  <c r="I29" i="19" s="1"/>
  <c r="J29" i="19" s="1"/>
  <c r="K29" i="19" s="1"/>
  <c r="I14" i="21"/>
  <c r="A39" i="19" s="1"/>
  <c r="R7" i="20"/>
  <c r="AL7" i="20"/>
  <c r="F7" i="20"/>
  <c r="P7" i="20"/>
  <c r="U7" i="20"/>
  <c r="J7" i="20"/>
  <c r="Y7" i="20"/>
  <c r="I7" i="20"/>
  <c r="K7" i="20"/>
  <c r="AM7" i="20"/>
  <c r="H7" i="20"/>
  <c r="V18" i="20"/>
  <c r="P18" i="20"/>
  <c r="AD7" i="20"/>
  <c r="R18" i="20"/>
  <c r="AD18" i="20"/>
  <c r="AM18" i="20"/>
  <c r="O18" i="20"/>
  <c r="Y18" i="20"/>
  <c r="AL18" i="20"/>
  <c r="Q18" i="20"/>
  <c r="AC18" i="20"/>
  <c r="AG18" i="20"/>
  <c r="N18" i="20"/>
  <c r="J18" i="20"/>
  <c r="AB18" i="20"/>
  <c r="S18" i="20"/>
  <c r="AF18" i="20"/>
  <c r="F18" i="20"/>
  <c r="AJ18" i="20"/>
  <c r="AI18" i="20"/>
  <c r="U18" i="20"/>
  <c r="K18" i="20"/>
  <c r="W18" i="20"/>
  <c r="M18" i="20"/>
  <c r="X18" i="20"/>
  <c r="AH18" i="20"/>
  <c r="T18" i="20"/>
  <c r="L18" i="20"/>
  <c r="AA18" i="20"/>
  <c r="AE18" i="20"/>
  <c r="AK18" i="20"/>
  <c r="AH7" i="20"/>
  <c r="Z18" i="20"/>
  <c r="M9" i="20"/>
  <c r="O9" i="20"/>
  <c r="X9" i="20"/>
  <c r="AJ9" i="20"/>
  <c r="AD9" i="20"/>
  <c r="AH9" i="20"/>
  <c r="N9" i="20"/>
  <c r="S9" i="20"/>
  <c r="Q9" i="20"/>
  <c r="T9" i="20"/>
  <c r="F20" i="20"/>
  <c r="AM20" i="20"/>
  <c r="R9" i="20"/>
  <c r="AE9" i="20"/>
  <c r="Y9" i="20"/>
  <c r="W9" i="20"/>
  <c r="AH20" i="20"/>
  <c r="U20" i="20"/>
  <c r="AB20" i="20"/>
  <c r="Z9" i="20"/>
  <c r="AI9" i="20"/>
  <c r="AK9" i="20"/>
  <c r="AG20" i="20"/>
  <c r="AF20" i="20"/>
  <c r="V20" i="20"/>
  <c r="M20" i="20"/>
  <c r="AJ20" i="20"/>
  <c r="E20" i="20"/>
  <c r="U9" i="20"/>
  <c r="P20" i="20"/>
  <c r="V9" i="20"/>
  <c r="AM9" i="20"/>
  <c r="G9" i="20"/>
  <c r="L9" i="20"/>
  <c r="AC9" i="20"/>
  <c r="H20" i="20"/>
  <c r="H9" i="20"/>
  <c r="S20" i="20"/>
  <c r="J9" i="20"/>
  <c r="I9" i="20"/>
  <c r="K9" i="20"/>
  <c r="P9" i="20"/>
  <c r="Z20" i="20"/>
  <c r="J20" i="20"/>
  <c r="O20" i="20"/>
  <c r="K20" i="20"/>
  <c r="AK20" i="20"/>
  <c r="L20" i="20"/>
  <c r="AL20" i="20"/>
  <c r="AC20" i="20"/>
  <c r="N20" i="20"/>
  <c r="G20" i="20"/>
  <c r="T20" i="20"/>
  <c r="AA20" i="20"/>
  <c r="AI20" i="20"/>
  <c r="AB9" i="20"/>
  <c r="R20" i="20"/>
  <c r="Y20" i="20"/>
  <c r="AL9" i="20"/>
  <c r="AG9" i="20"/>
  <c r="AA9" i="20"/>
  <c r="AF9" i="20"/>
  <c r="AD20" i="20"/>
  <c r="Q20" i="20"/>
  <c r="X20" i="20"/>
  <c r="AE20" i="20"/>
  <c r="W20" i="20"/>
  <c r="C7" i="19"/>
  <c r="BF25" i="21" l="1"/>
  <c r="BG25" i="21"/>
  <c r="BF23" i="21"/>
  <c r="BG23" i="21"/>
  <c r="BF18" i="21"/>
  <c r="BG18" i="21"/>
  <c r="BF8" i="21"/>
  <c r="BG8" i="21"/>
  <c r="BF9" i="21"/>
  <c r="BG9" i="21"/>
  <c r="BF22" i="21"/>
  <c r="BG22" i="21"/>
  <c r="BF27" i="21"/>
  <c r="BG27" i="21"/>
  <c r="BF24" i="21"/>
  <c r="BG24" i="21"/>
  <c r="BF20" i="21"/>
  <c r="BG20" i="21"/>
  <c r="BF3" i="21"/>
  <c r="BG3" i="21"/>
  <c r="BD23" i="21"/>
  <c r="BE23" i="21"/>
  <c r="BD18" i="21"/>
  <c r="BE18" i="21"/>
  <c r="BD9" i="21"/>
  <c r="BE9" i="21"/>
  <c r="BD8" i="21"/>
  <c r="BE8" i="21"/>
  <c r="BD22" i="21"/>
  <c r="BE22" i="21"/>
  <c r="BD25" i="21"/>
  <c r="BE25" i="21"/>
  <c r="BD27" i="21"/>
  <c r="BE27" i="21"/>
  <c r="BD24" i="21"/>
  <c r="BE24" i="21"/>
  <c r="BD20" i="21"/>
  <c r="BE20" i="21"/>
  <c r="BD3" i="21"/>
  <c r="BE3" i="21"/>
  <c r="BB18" i="21"/>
  <c r="BC18" i="21"/>
  <c r="BB22" i="21"/>
  <c r="BC22" i="21"/>
  <c r="BB27" i="21"/>
  <c r="BC27" i="21"/>
  <c r="BB9" i="21"/>
  <c r="BC9" i="21"/>
  <c r="BB24" i="21"/>
  <c r="BC24" i="21"/>
  <c r="BB23" i="21"/>
  <c r="BC23" i="21"/>
  <c r="BB25" i="21"/>
  <c r="BC25" i="21"/>
  <c r="BB3" i="21"/>
  <c r="BC3" i="21"/>
  <c r="BB8" i="21"/>
  <c r="BC8" i="21"/>
  <c r="BB20" i="21"/>
  <c r="BC20" i="21"/>
  <c r="AZ18" i="21"/>
  <c r="BA18" i="21"/>
  <c r="AZ22" i="21"/>
  <c r="BA22" i="21"/>
  <c r="AZ27" i="21"/>
  <c r="BA27" i="21"/>
  <c r="AZ24" i="21"/>
  <c r="BA24" i="21"/>
  <c r="AZ23" i="21"/>
  <c r="BA23" i="21"/>
  <c r="AZ25" i="21"/>
  <c r="BA25" i="21"/>
  <c r="AZ20" i="21"/>
  <c r="BA20" i="21"/>
  <c r="AZ9" i="21"/>
  <c r="BA9" i="21"/>
  <c r="AZ3" i="21"/>
  <c r="BA3" i="21"/>
  <c r="AZ8" i="21"/>
  <c r="BA8" i="21"/>
  <c r="AX23" i="21"/>
  <c r="AY23" i="21"/>
  <c r="AX18" i="21"/>
  <c r="AY18" i="21"/>
  <c r="AX22" i="21"/>
  <c r="AY22" i="21"/>
  <c r="AX27" i="21"/>
  <c r="AY27" i="21"/>
  <c r="AX9" i="21"/>
  <c r="AY9" i="21"/>
  <c r="AX24" i="21"/>
  <c r="AY24" i="21"/>
  <c r="AX25" i="21"/>
  <c r="AY25" i="21"/>
  <c r="AX3" i="21"/>
  <c r="AY3" i="21"/>
  <c r="AX8" i="21"/>
  <c r="AY8" i="21"/>
  <c r="AX20" i="21"/>
  <c r="AY20" i="21"/>
  <c r="V25" i="21"/>
  <c r="AL25" i="21"/>
  <c r="AB25" i="21"/>
  <c r="AW25" i="21"/>
  <c r="S25" i="21"/>
  <c r="AN25" i="21"/>
  <c r="AE25" i="21"/>
  <c r="AA25" i="21"/>
  <c r="AV25" i="21"/>
  <c r="AD25" i="21"/>
  <c r="AT25" i="21"/>
  <c r="P25" i="21"/>
  <c r="AM25" i="21"/>
  <c r="AC25" i="21"/>
  <c r="T25" i="21"/>
  <c r="AO25" i="21"/>
  <c r="Q25" i="21"/>
  <c r="R25" i="21"/>
  <c r="AH25" i="21"/>
  <c r="O25" i="21"/>
  <c r="W25" i="21"/>
  <c r="AR25" i="21"/>
  <c r="AI25" i="21"/>
  <c r="Y25" i="21"/>
  <c r="AU25" i="21"/>
  <c r="AJ25" i="21"/>
  <c r="AK25" i="21"/>
  <c r="Z25" i="21"/>
  <c r="AG25" i="21"/>
  <c r="AS25" i="21"/>
  <c r="U25" i="21"/>
  <c r="AP25" i="21"/>
  <c r="AF25" i="21"/>
  <c r="N25" i="21"/>
  <c r="X25" i="21"/>
  <c r="AQ25" i="21"/>
  <c r="T20" i="21"/>
  <c r="AJ20" i="21"/>
  <c r="U20" i="21"/>
  <c r="AK20" i="21"/>
  <c r="R20" i="21"/>
  <c r="AH20" i="21"/>
  <c r="W20" i="21"/>
  <c r="AM20" i="21"/>
  <c r="N20" i="21"/>
  <c r="X20" i="21"/>
  <c r="AN20" i="21"/>
  <c r="AB20" i="21"/>
  <c r="AR20" i="21"/>
  <c r="AC20" i="21"/>
  <c r="AS20" i="21"/>
  <c r="Z20" i="21"/>
  <c r="AP20" i="21"/>
  <c r="O20" i="21"/>
  <c r="AE20" i="21"/>
  <c r="AU20" i="21"/>
  <c r="P20" i="21"/>
  <c r="AF20" i="21"/>
  <c r="AV20" i="21"/>
  <c r="Q20" i="21"/>
  <c r="AG20" i="21"/>
  <c r="AW20" i="21"/>
  <c r="AD20" i="21"/>
  <c r="AT20" i="21"/>
  <c r="S20" i="21"/>
  <c r="AI20" i="21"/>
  <c r="AO20" i="21"/>
  <c r="AQ20" i="21"/>
  <c r="V20" i="21"/>
  <c r="Y20" i="21"/>
  <c r="AL20" i="21"/>
  <c r="AA20" i="21"/>
  <c r="AA23" i="21"/>
  <c r="AQ23" i="21"/>
  <c r="AB23" i="21"/>
  <c r="AR23" i="21"/>
  <c r="Y23" i="21"/>
  <c r="AO23" i="21"/>
  <c r="AD23" i="21"/>
  <c r="AT23" i="21"/>
  <c r="S23" i="21"/>
  <c r="AI23" i="21"/>
  <c r="T23" i="21"/>
  <c r="AJ23" i="21"/>
  <c r="Q23" i="21"/>
  <c r="AG23" i="21"/>
  <c r="AW23" i="21"/>
  <c r="V23" i="21"/>
  <c r="AL23" i="21"/>
  <c r="W23" i="21"/>
  <c r="AM23" i="21"/>
  <c r="X23" i="21"/>
  <c r="AN23" i="21"/>
  <c r="U23" i="21"/>
  <c r="AK23" i="21"/>
  <c r="Z23" i="21"/>
  <c r="AP23" i="21"/>
  <c r="N23" i="21"/>
  <c r="O23" i="21"/>
  <c r="P23" i="21"/>
  <c r="AC23" i="21"/>
  <c r="AU23" i="21"/>
  <c r="AF23" i="21"/>
  <c r="AS23" i="21"/>
  <c r="AH23" i="21"/>
  <c r="AE23" i="21"/>
  <c r="R23" i="21"/>
  <c r="AV23" i="21"/>
  <c r="Z18" i="21"/>
  <c r="AP18" i="21"/>
  <c r="AA18" i="21"/>
  <c r="AQ18" i="21"/>
  <c r="X18" i="21"/>
  <c r="AN18" i="21"/>
  <c r="AC18" i="21"/>
  <c r="AS18" i="21"/>
  <c r="AD18" i="21"/>
  <c r="AT18" i="21"/>
  <c r="R18" i="21"/>
  <c r="AH18" i="21"/>
  <c r="S18" i="21"/>
  <c r="AI18" i="21"/>
  <c r="P18" i="21"/>
  <c r="AF18" i="21"/>
  <c r="AV18" i="21"/>
  <c r="U18" i="21"/>
  <c r="AK18" i="21"/>
  <c r="V18" i="21"/>
  <c r="AL18" i="21"/>
  <c r="W18" i="21"/>
  <c r="AM18" i="21"/>
  <c r="T18" i="21"/>
  <c r="AJ18" i="21"/>
  <c r="Y18" i="21"/>
  <c r="AO18" i="21"/>
  <c r="AU18" i="21"/>
  <c r="AW18" i="21"/>
  <c r="N18" i="21"/>
  <c r="O18" i="21"/>
  <c r="AB18" i="21"/>
  <c r="Q18" i="21"/>
  <c r="AE18" i="21"/>
  <c r="AR18" i="21"/>
  <c r="AG18" i="21"/>
  <c r="AD22" i="21"/>
  <c r="AT22" i="21"/>
  <c r="O22" i="21"/>
  <c r="AE22" i="21"/>
  <c r="AU22" i="21"/>
  <c r="AB22" i="21"/>
  <c r="AR22" i="21"/>
  <c r="Q22" i="21"/>
  <c r="AG22" i="21"/>
  <c r="AW22" i="21"/>
  <c r="V22" i="21"/>
  <c r="AL22" i="21"/>
  <c r="W22" i="21"/>
  <c r="AM22" i="21"/>
  <c r="T22" i="21"/>
  <c r="AJ22" i="21"/>
  <c r="Y22" i="21"/>
  <c r="AO22" i="21"/>
  <c r="Z22" i="21"/>
  <c r="AP22" i="21"/>
  <c r="AA22" i="21"/>
  <c r="AQ22" i="21"/>
  <c r="X22" i="21"/>
  <c r="AN22" i="21"/>
  <c r="AC22" i="21"/>
  <c r="AS22" i="21"/>
  <c r="AI22" i="21"/>
  <c r="AV22" i="21"/>
  <c r="AK22" i="21"/>
  <c r="R22" i="21"/>
  <c r="P22" i="21"/>
  <c r="AH22" i="21"/>
  <c r="S22" i="21"/>
  <c r="AF22" i="21"/>
  <c r="U22" i="21"/>
  <c r="N22" i="21"/>
  <c r="Q27" i="21"/>
  <c r="AG27" i="21"/>
  <c r="AW27" i="21"/>
  <c r="Z27" i="21"/>
  <c r="AP27" i="21"/>
  <c r="N27" i="21"/>
  <c r="S27" i="21"/>
  <c r="AI27" i="21"/>
  <c r="Y27" i="21"/>
  <c r="AO27" i="21"/>
  <c r="R27" i="21"/>
  <c r="AH27" i="21"/>
  <c r="AC27" i="21"/>
  <c r="AS27" i="21"/>
  <c r="V27" i="21"/>
  <c r="AL27" i="21"/>
  <c r="AE27" i="21"/>
  <c r="AB27" i="21"/>
  <c r="AR27" i="21"/>
  <c r="P27" i="21"/>
  <c r="AD27" i="21"/>
  <c r="AK27" i="21"/>
  <c r="AT27" i="21"/>
  <c r="W27" i="21"/>
  <c r="AQ27" i="21"/>
  <c r="T27" i="21"/>
  <c r="AJ27" i="21"/>
  <c r="AM27" i="21"/>
  <c r="AV27" i="21"/>
  <c r="AA27" i="21"/>
  <c r="AU27" i="21"/>
  <c r="X27" i="21"/>
  <c r="AN27" i="21"/>
  <c r="U27" i="21"/>
  <c r="O27" i="21"/>
  <c r="AF27" i="21"/>
  <c r="X24" i="21"/>
  <c r="AN24" i="21"/>
  <c r="Y24" i="21"/>
  <c r="AO24" i="21"/>
  <c r="V24" i="21"/>
  <c r="AL24" i="21"/>
  <c r="AA24" i="21"/>
  <c r="AQ24" i="21"/>
  <c r="P24" i="21"/>
  <c r="AF24" i="21"/>
  <c r="AV24" i="21"/>
  <c r="Q24" i="21"/>
  <c r="AG24" i="21"/>
  <c r="AW24" i="21"/>
  <c r="AD24" i="21"/>
  <c r="AT24" i="21"/>
  <c r="S24" i="21"/>
  <c r="AI24" i="21"/>
  <c r="T24" i="21"/>
  <c r="AJ24" i="21"/>
  <c r="U24" i="21"/>
  <c r="AK24" i="21"/>
  <c r="R24" i="21"/>
  <c r="AH24" i="21"/>
  <c r="W24" i="21"/>
  <c r="AM24" i="21"/>
  <c r="AR24" i="21"/>
  <c r="AC24" i="21"/>
  <c r="AP24" i="21"/>
  <c r="AE24" i="21"/>
  <c r="N24" i="21"/>
  <c r="AS24" i="21"/>
  <c r="AU24" i="21"/>
  <c r="AB24" i="21"/>
  <c r="Z24" i="21"/>
  <c r="O24" i="21"/>
  <c r="P8" i="21"/>
  <c r="Q8" i="21"/>
  <c r="AG8" i="21"/>
  <c r="R8" i="21"/>
  <c r="AH8" i="21"/>
  <c r="AW8" i="21"/>
  <c r="AQ8" i="21"/>
  <c r="AE8" i="21"/>
  <c r="AS8" i="21"/>
  <c r="AI8" i="21"/>
  <c r="T8" i="21"/>
  <c r="U8" i="21"/>
  <c r="AK8" i="21"/>
  <c r="V8" i="21"/>
  <c r="AL8" i="21"/>
  <c r="S8" i="21"/>
  <c r="AU8" i="21"/>
  <c r="AM8" i="21"/>
  <c r="X8" i="21"/>
  <c r="AP8" i="21"/>
  <c r="Y8" i="21"/>
  <c r="AO8" i="21"/>
  <c r="Z8" i="21"/>
  <c r="AB8" i="21"/>
  <c r="AR8" i="21"/>
  <c r="AF8" i="21"/>
  <c r="O8" i="21"/>
  <c r="AT8" i="21"/>
  <c r="N8" i="21"/>
  <c r="AC8" i="21"/>
  <c r="AD8" i="21"/>
  <c r="AJ8" i="21"/>
  <c r="W8" i="21"/>
  <c r="AV8" i="21"/>
  <c r="AN8" i="21"/>
  <c r="AA8" i="21"/>
  <c r="Y9" i="21"/>
  <c r="AO9" i="21"/>
  <c r="R9" i="21"/>
  <c r="AH9" i="21"/>
  <c r="AA9" i="21"/>
  <c r="AQ9" i="21"/>
  <c r="T9" i="21"/>
  <c r="AJ9" i="21"/>
  <c r="AW9" i="21"/>
  <c r="AC9" i="21"/>
  <c r="AS9" i="21"/>
  <c r="N9" i="21"/>
  <c r="V9" i="21"/>
  <c r="AL9" i="21"/>
  <c r="O9" i="21"/>
  <c r="AE9" i="21"/>
  <c r="AU9" i="21"/>
  <c r="X9" i="21"/>
  <c r="AN9" i="21"/>
  <c r="Q9" i="21"/>
  <c r="AG9" i="21"/>
  <c r="Z9" i="21"/>
  <c r="AP9" i="21"/>
  <c r="S9" i="21"/>
  <c r="AI9" i="21"/>
  <c r="AB9" i="21"/>
  <c r="AR9" i="21"/>
  <c r="U9" i="21"/>
  <c r="AK9" i="21"/>
  <c r="AD9" i="21"/>
  <c r="AT9" i="21"/>
  <c r="W9" i="21"/>
  <c r="AM9" i="21"/>
  <c r="P9" i="21"/>
  <c r="AF9" i="21"/>
  <c r="AV9" i="21"/>
  <c r="Z3" i="21"/>
  <c r="AP3" i="21"/>
  <c r="W3" i="21"/>
  <c r="AM3" i="21"/>
  <c r="P3" i="21"/>
  <c r="AF3" i="21"/>
  <c r="AV3" i="21"/>
  <c r="AC3" i="21"/>
  <c r="AS3" i="21"/>
  <c r="T3" i="21"/>
  <c r="N3" i="21"/>
  <c r="AD3" i="21"/>
  <c r="AT3" i="21"/>
  <c r="AA3" i="21"/>
  <c r="AQ3" i="21"/>
  <c r="AW3" i="21"/>
  <c r="AJ3" i="21"/>
  <c r="Q3" i="21"/>
  <c r="AG3" i="21"/>
  <c r="R3" i="21"/>
  <c r="AH3" i="21"/>
  <c r="O3" i="21"/>
  <c r="AE3" i="21"/>
  <c r="AU3" i="21"/>
  <c r="X3" i="21"/>
  <c r="AN3" i="21"/>
  <c r="U3" i="21"/>
  <c r="AK3" i="21"/>
  <c r="V3" i="21"/>
  <c r="AL3" i="21"/>
  <c r="S3" i="21"/>
  <c r="AI3" i="21"/>
  <c r="AB3" i="21"/>
  <c r="AR3" i="21"/>
  <c r="Y3" i="21"/>
  <c r="AO3" i="21"/>
  <c r="J4" i="21"/>
  <c r="J12" i="21"/>
  <c r="L24" i="21"/>
  <c r="M24" i="21"/>
  <c r="L25" i="21"/>
  <c r="M25" i="21"/>
  <c r="M3" i="21"/>
  <c r="L3" i="21"/>
  <c r="L8" i="21"/>
  <c r="M8" i="21"/>
  <c r="L20" i="21"/>
  <c r="M20" i="21"/>
  <c r="L27" i="21"/>
  <c r="M27" i="21"/>
  <c r="L23" i="21"/>
  <c r="M23" i="21"/>
  <c r="M9" i="21"/>
  <c r="L9" i="21"/>
  <c r="L18" i="21"/>
  <c r="M18" i="21"/>
  <c r="L22" i="21"/>
  <c r="M22" i="21"/>
  <c r="J21" i="21"/>
  <c r="J26" i="21"/>
  <c r="J5" i="21"/>
  <c r="J7" i="21"/>
  <c r="I34" i="19"/>
  <c r="J34" i="19" s="1"/>
  <c r="K34" i="19" s="1"/>
  <c r="I30" i="19"/>
  <c r="J30" i="19" s="1"/>
  <c r="K30" i="19" s="1"/>
  <c r="J6" i="21"/>
  <c r="C34" i="19"/>
  <c r="D34" i="19" s="1"/>
  <c r="E34" i="19" s="1"/>
  <c r="I37" i="19"/>
  <c r="J37" i="19" s="1"/>
  <c r="K37" i="19" s="1"/>
  <c r="I32" i="19"/>
  <c r="J32" i="19" s="1"/>
  <c r="K32" i="19" s="1"/>
  <c r="J19" i="21"/>
  <c r="I28" i="19"/>
  <c r="J28" i="19" s="1"/>
  <c r="K28" i="19" s="1"/>
  <c r="C33" i="19"/>
  <c r="D33" i="19" s="1"/>
  <c r="E33" i="19" s="1"/>
  <c r="J10" i="21"/>
  <c r="I35" i="19"/>
  <c r="J35" i="19" s="1"/>
  <c r="K35" i="19" s="1"/>
  <c r="J11" i="21"/>
  <c r="C28" i="19"/>
  <c r="D28" i="19" s="1"/>
  <c r="E28" i="19" s="1"/>
  <c r="I33" i="19"/>
  <c r="J33" i="19" s="1"/>
  <c r="K33" i="19" s="1"/>
  <c r="B33" i="19"/>
  <c r="H30" i="19"/>
  <c r="H37" i="19"/>
  <c r="H34" i="19"/>
  <c r="B34" i="19"/>
  <c r="B28" i="19"/>
  <c r="H35" i="19"/>
  <c r="H28" i="19"/>
  <c r="H32" i="19"/>
  <c r="H33" i="19"/>
  <c r="BF6" i="21" l="1"/>
  <c r="BG6" i="21"/>
  <c r="BF10" i="21"/>
  <c r="BG10" i="21"/>
  <c r="BF11" i="21"/>
  <c r="BG11" i="21"/>
  <c r="BF19" i="21"/>
  <c r="BG19" i="21"/>
  <c r="BF4" i="21"/>
  <c r="BG4" i="21"/>
  <c r="BF7" i="21"/>
  <c r="BG7" i="21"/>
  <c r="BF12" i="21"/>
  <c r="BG12" i="21"/>
  <c r="BF5" i="21"/>
  <c r="BG5" i="21"/>
  <c r="BF26" i="21"/>
  <c r="BG26" i="21"/>
  <c r="BF21" i="21"/>
  <c r="BG21" i="21"/>
  <c r="BD11" i="21"/>
  <c r="BE11" i="21"/>
  <c r="BD6" i="21"/>
  <c r="BE6" i="21"/>
  <c r="BD21" i="21"/>
  <c r="BE21" i="21"/>
  <c r="BD26" i="21"/>
  <c r="BE26" i="21"/>
  <c r="BD12" i="21"/>
  <c r="BE12" i="21"/>
  <c r="BD10" i="21"/>
  <c r="BE10" i="21"/>
  <c r="BD7" i="21"/>
  <c r="BE7" i="21"/>
  <c r="BD19" i="21"/>
  <c r="BE19" i="21"/>
  <c r="BD5" i="21"/>
  <c r="BE5" i="21"/>
  <c r="BD4" i="21"/>
  <c r="BE4" i="21"/>
  <c r="BB11" i="21"/>
  <c r="BC11" i="21"/>
  <c r="BB10" i="21"/>
  <c r="BC10" i="21"/>
  <c r="BB26" i="21"/>
  <c r="BC26" i="21"/>
  <c r="BB12" i="21"/>
  <c r="BC12" i="21"/>
  <c r="BB21" i="21"/>
  <c r="BC21" i="21"/>
  <c r="BB7" i="21"/>
  <c r="BC7" i="21"/>
  <c r="BB19" i="21"/>
  <c r="BC19" i="21"/>
  <c r="BB6" i="21"/>
  <c r="BC6" i="21"/>
  <c r="BB5" i="21"/>
  <c r="BC5" i="21"/>
  <c r="BB4" i="21"/>
  <c r="BC4" i="21"/>
  <c r="AZ26" i="21"/>
  <c r="BA26" i="21"/>
  <c r="AZ21" i="21"/>
  <c r="BA21" i="21"/>
  <c r="AZ19" i="21"/>
  <c r="BA19" i="21"/>
  <c r="AZ12" i="21"/>
  <c r="BA12" i="21"/>
  <c r="AZ10" i="21"/>
  <c r="BA10" i="21"/>
  <c r="AZ11" i="21"/>
  <c r="BA11" i="21"/>
  <c r="AZ7" i="21"/>
  <c r="BA7" i="21"/>
  <c r="AZ6" i="21"/>
  <c r="BA6" i="21"/>
  <c r="AZ5" i="21"/>
  <c r="BA5" i="21"/>
  <c r="AZ4" i="21"/>
  <c r="BA4" i="21"/>
  <c r="AX10" i="21"/>
  <c r="AY10" i="21"/>
  <c r="AX26" i="21"/>
  <c r="AY26" i="21"/>
  <c r="AX21" i="21"/>
  <c r="AY21" i="21"/>
  <c r="AX7" i="21"/>
  <c r="AY7" i="21"/>
  <c r="AX12" i="21"/>
  <c r="AY12" i="21"/>
  <c r="AX11" i="21"/>
  <c r="AY11" i="21"/>
  <c r="AX19" i="21"/>
  <c r="AY19" i="21"/>
  <c r="AX6" i="21"/>
  <c r="AY6" i="21"/>
  <c r="AX5" i="21"/>
  <c r="AY5" i="21"/>
  <c r="AX4" i="21"/>
  <c r="AY4" i="21"/>
  <c r="Q21" i="21"/>
  <c r="AG21" i="21"/>
  <c r="AW21" i="21"/>
  <c r="R21" i="21"/>
  <c r="AH21" i="21"/>
  <c r="O21" i="21"/>
  <c r="AE21" i="21"/>
  <c r="AU21" i="21"/>
  <c r="T21" i="21"/>
  <c r="AJ21" i="21"/>
  <c r="U21" i="21"/>
  <c r="AK21" i="21"/>
  <c r="Y21" i="21"/>
  <c r="AO21" i="21"/>
  <c r="Z21" i="21"/>
  <c r="AP21" i="21"/>
  <c r="W21" i="21"/>
  <c r="AM21" i="21"/>
  <c r="AB21" i="21"/>
  <c r="AR21" i="21"/>
  <c r="AC21" i="21"/>
  <c r="AS21" i="21"/>
  <c r="AD21" i="21"/>
  <c r="AT21" i="21"/>
  <c r="AA21" i="21"/>
  <c r="AQ21" i="21"/>
  <c r="P21" i="21"/>
  <c r="AF21" i="21"/>
  <c r="AV21" i="21"/>
  <c r="S21" i="21"/>
  <c r="AL21" i="21"/>
  <c r="AN21" i="21"/>
  <c r="N21" i="21"/>
  <c r="V21" i="21"/>
  <c r="AI21" i="21"/>
  <c r="X21" i="21"/>
  <c r="S26" i="21"/>
  <c r="AI26" i="21"/>
  <c r="AJ26" i="21"/>
  <c r="Z26" i="21"/>
  <c r="AS26" i="21"/>
  <c r="Q26" i="21"/>
  <c r="AL26" i="21"/>
  <c r="AA26" i="21"/>
  <c r="Y26" i="21"/>
  <c r="AR26" i="21"/>
  <c r="N26" i="21"/>
  <c r="P26" i="21"/>
  <c r="AK26" i="21"/>
  <c r="AB26" i="21"/>
  <c r="O26" i="21"/>
  <c r="AE26" i="21"/>
  <c r="AD26" i="21"/>
  <c r="AV26" i="21"/>
  <c r="U26" i="21"/>
  <c r="AO26" i="21"/>
  <c r="W26" i="21"/>
  <c r="AN26" i="21"/>
  <c r="AW26" i="21"/>
  <c r="AT26" i="21"/>
  <c r="AC26" i="21"/>
  <c r="AU26" i="21"/>
  <c r="V26" i="21"/>
  <c r="AG26" i="21"/>
  <c r="R26" i="21"/>
  <c r="AM26" i="21"/>
  <c r="AH26" i="21"/>
  <c r="T26" i="21"/>
  <c r="AF26" i="21"/>
  <c r="AP26" i="21"/>
  <c r="X26" i="21"/>
  <c r="AQ26" i="21"/>
  <c r="W19" i="21"/>
  <c r="AM19" i="21"/>
  <c r="X19" i="21"/>
  <c r="AN19" i="21"/>
  <c r="U19" i="21"/>
  <c r="AK19" i="21"/>
  <c r="Z19" i="21"/>
  <c r="AP19" i="21"/>
  <c r="AA19" i="21"/>
  <c r="AQ19" i="21"/>
  <c r="O19" i="21"/>
  <c r="AE19" i="21"/>
  <c r="AU19" i="21"/>
  <c r="P19" i="21"/>
  <c r="AF19" i="21"/>
  <c r="AV19" i="21"/>
  <c r="AC19" i="21"/>
  <c r="AS19" i="21"/>
  <c r="R19" i="21"/>
  <c r="AH19" i="21"/>
  <c r="N19" i="21"/>
  <c r="S19" i="21"/>
  <c r="AI19" i="21"/>
  <c r="T19" i="21"/>
  <c r="AJ19" i="21"/>
  <c r="Q19" i="21"/>
  <c r="AG19" i="21"/>
  <c r="AW19" i="21"/>
  <c r="V19" i="21"/>
  <c r="AL19" i="21"/>
  <c r="Y19" i="21"/>
  <c r="AD19" i="21"/>
  <c r="AR19" i="21"/>
  <c r="AT19" i="21"/>
  <c r="AB19" i="21"/>
  <c r="AO19" i="21"/>
  <c r="U11" i="21"/>
  <c r="AK11" i="21"/>
  <c r="AD11" i="21"/>
  <c r="AT11" i="21"/>
  <c r="W11" i="21"/>
  <c r="AM11" i="21"/>
  <c r="P11" i="21"/>
  <c r="AF11" i="21"/>
  <c r="AV11" i="21"/>
  <c r="AW11" i="21"/>
  <c r="Y11" i="21"/>
  <c r="AO11" i="21"/>
  <c r="R11" i="21"/>
  <c r="AH11" i="21"/>
  <c r="AA11" i="21"/>
  <c r="AQ11" i="21"/>
  <c r="N11" i="21"/>
  <c r="T11" i="21"/>
  <c r="AJ11" i="21"/>
  <c r="AC11" i="21"/>
  <c r="AS11" i="21"/>
  <c r="V11" i="21"/>
  <c r="AL11" i="21"/>
  <c r="O11" i="21"/>
  <c r="AE11" i="21"/>
  <c r="AU11" i="21"/>
  <c r="X11" i="21"/>
  <c r="AN11" i="21"/>
  <c r="Q11" i="21"/>
  <c r="AG11" i="21"/>
  <c r="Z11" i="21"/>
  <c r="AP11" i="21"/>
  <c r="S11" i="21"/>
  <c r="AI11" i="21"/>
  <c r="AB11" i="21"/>
  <c r="AR11" i="21"/>
  <c r="M4" i="21"/>
  <c r="X4" i="21"/>
  <c r="AN4" i="21"/>
  <c r="Y4" i="21"/>
  <c r="AO4" i="21"/>
  <c r="Z4" i="21"/>
  <c r="AP4" i="21"/>
  <c r="W4" i="21"/>
  <c r="AM4" i="21"/>
  <c r="AB4" i="21"/>
  <c r="AR4" i="21"/>
  <c r="AC4" i="21"/>
  <c r="AS4" i="21"/>
  <c r="AD4" i="21"/>
  <c r="AT4" i="21"/>
  <c r="AA4" i="21"/>
  <c r="AQ4" i="21"/>
  <c r="N4" i="21"/>
  <c r="P4" i="21"/>
  <c r="AF4" i="21"/>
  <c r="AV4" i="21"/>
  <c r="Q4" i="21"/>
  <c r="AG4" i="21"/>
  <c r="R4" i="21"/>
  <c r="AH4" i="21"/>
  <c r="O4" i="21"/>
  <c r="AE4" i="21"/>
  <c r="AU4" i="21"/>
  <c r="T4" i="21"/>
  <c r="AJ4" i="21"/>
  <c r="U4" i="21"/>
  <c r="AK4" i="21"/>
  <c r="V4" i="21"/>
  <c r="AL4" i="21"/>
  <c r="AW4" i="21"/>
  <c r="S4" i="21"/>
  <c r="AI4" i="21"/>
  <c r="W10" i="21"/>
  <c r="AM10" i="21"/>
  <c r="P10" i="21"/>
  <c r="AF10" i="21"/>
  <c r="AV10" i="21"/>
  <c r="Y10" i="21"/>
  <c r="AO10" i="21"/>
  <c r="R10" i="21"/>
  <c r="AH10" i="21"/>
  <c r="AW10" i="21"/>
  <c r="AA10" i="21"/>
  <c r="AQ10" i="21"/>
  <c r="T10" i="21"/>
  <c r="AJ10" i="21"/>
  <c r="AC10" i="21"/>
  <c r="AS10" i="21"/>
  <c r="V10" i="21"/>
  <c r="AL10" i="21"/>
  <c r="O10" i="21"/>
  <c r="AE10" i="21"/>
  <c r="AU10" i="21"/>
  <c r="X10" i="21"/>
  <c r="AN10" i="21"/>
  <c r="Q10" i="21"/>
  <c r="AG10" i="21"/>
  <c r="Z10" i="21"/>
  <c r="AP10" i="21"/>
  <c r="S10" i="21"/>
  <c r="AI10" i="21"/>
  <c r="AB10" i="21"/>
  <c r="AR10" i="21"/>
  <c r="N10" i="21"/>
  <c r="U10" i="21"/>
  <c r="AK10" i="21"/>
  <c r="AD10" i="21"/>
  <c r="AT10" i="21"/>
  <c r="R7" i="21"/>
  <c r="AH7" i="21"/>
  <c r="S7" i="21"/>
  <c r="AI7" i="21"/>
  <c r="AW7" i="21"/>
  <c r="T7" i="21"/>
  <c r="AJ7" i="21"/>
  <c r="AK7" i="21"/>
  <c r="AS7" i="21"/>
  <c r="N7" i="21"/>
  <c r="Q7" i="21"/>
  <c r="V7" i="21"/>
  <c r="AL7" i="21"/>
  <c r="W7" i="21"/>
  <c r="AM7" i="21"/>
  <c r="X7" i="21"/>
  <c r="AN7" i="21"/>
  <c r="Y7" i="21"/>
  <c r="AG7" i="21"/>
  <c r="Z7" i="21"/>
  <c r="AP7" i="21"/>
  <c r="AA7" i="21"/>
  <c r="AQ7" i="21"/>
  <c r="AB7" i="21"/>
  <c r="AR7" i="21"/>
  <c r="AO7" i="21"/>
  <c r="AD7" i="21"/>
  <c r="AT7" i="21"/>
  <c r="O7" i="21"/>
  <c r="AE7" i="21"/>
  <c r="AU7" i="21"/>
  <c r="P7" i="21"/>
  <c r="AF7" i="21"/>
  <c r="AV7" i="21"/>
  <c r="U7" i="21"/>
  <c r="AC7" i="21"/>
  <c r="S12" i="21"/>
  <c r="AI12" i="21"/>
  <c r="AB12" i="21"/>
  <c r="AR12" i="21"/>
  <c r="U12" i="21"/>
  <c r="AK12" i="21"/>
  <c r="AD12" i="21"/>
  <c r="AT12" i="21"/>
  <c r="AW12" i="21"/>
  <c r="W12" i="21"/>
  <c r="AM12" i="21"/>
  <c r="P12" i="21"/>
  <c r="AF12" i="21"/>
  <c r="AV12" i="21"/>
  <c r="Y12" i="21"/>
  <c r="AO12" i="21"/>
  <c r="R12" i="21"/>
  <c r="AH12" i="21"/>
  <c r="AA12" i="21"/>
  <c r="AQ12" i="21"/>
  <c r="T12" i="21"/>
  <c r="AJ12" i="21"/>
  <c r="AC12" i="21"/>
  <c r="AS12" i="21"/>
  <c r="V12" i="21"/>
  <c r="AL12" i="21"/>
  <c r="O12" i="21"/>
  <c r="AE12" i="21"/>
  <c r="AU12" i="21"/>
  <c r="X12" i="21"/>
  <c r="AN12" i="21"/>
  <c r="Q12" i="21"/>
  <c r="AG12" i="21"/>
  <c r="Z12" i="21"/>
  <c r="AP12" i="21"/>
  <c r="N12" i="21"/>
  <c r="T6" i="21"/>
  <c r="AJ6" i="21"/>
  <c r="AW6" i="21"/>
  <c r="U6" i="21"/>
  <c r="AK6" i="21"/>
  <c r="V6" i="21"/>
  <c r="AL6" i="21"/>
  <c r="S6" i="21"/>
  <c r="AI6" i="21"/>
  <c r="X6" i="21"/>
  <c r="AN6" i="21"/>
  <c r="Y6" i="21"/>
  <c r="AO6" i="21"/>
  <c r="Z6" i="21"/>
  <c r="AP6" i="21"/>
  <c r="W6" i="21"/>
  <c r="AM6" i="21"/>
  <c r="AB6" i="21"/>
  <c r="AR6" i="21"/>
  <c r="AC6" i="21"/>
  <c r="AS6" i="21"/>
  <c r="AD6" i="21"/>
  <c r="AT6" i="21"/>
  <c r="AA6" i="21"/>
  <c r="AQ6" i="21"/>
  <c r="N6" i="21"/>
  <c r="AU6" i="21"/>
  <c r="P6" i="21"/>
  <c r="AF6" i="21"/>
  <c r="AV6" i="21"/>
  <c r="Q6" i="21"/>
  <c r="AG6" i="21"/>
  <c r="R6" i="21"/>
  <c r="AH6" i="21"/>
  <c r="O6" i="21"/>
  <c r="AE6" i="21"/>
  <c r="B30" i="19"/>
  <c r="AW5" i="21"/>
  <c r="V5" i="21"/>
  <c r="AL5" i="21"/>
  <c r="W5" i="21"/>
  <c r="AM5" i="21"/>
  <c r="X5" i="21"/>
  <c r="AN5" i="21"/>
  <c r="U5" i="21"/>
  <c r="AK5" i="21"/>
  <c r="N5" i="21"/>
  <c r="Z5" i="21"/>
  <c r="AP5" i="21"/>
  <c r="AA5" i="21"/>
  <c r="AQ5" i="21"/>
  <c r="AB5" i="21"/>
  <c r="AR5" i="21"/>
  <c r="Y5" i="21"/>
  <c r="AO5" i="21"/>
  <c r="AD5" i="21"/>
  <c r="AT5" i="21"/>
  <c r="O5" i="21"/>
  <c r="AE5" i="21"/>
  <c r="AU5" i="21"/>
  <c r="P5" i="21"/>
  <c r="AF5" i="21"/>
  <c r="AV5" i="21"/>
  <c r="AC5" i="21"/>
  <c r="AS5" i="21"/>
  <c r="R5" i="21"/>
  <c r="AH5" i="21"/>
  <c r="S5" i="21"/>
  <c r="AI5" i="21"/>
  <c r="T5" i="21"/>
  <c r="AJ5" i="21"/>
  <c r="Q5" i="21"/>
  <c r="AG5" i="21"/>
  <c r="M12" i="21"/>
  <c r="B37" i="19"/>
  <c r="B29" i="19"/>
  <c r="L4" i="21"/>
  <c r="L12" i="21"/>
  <c r="H36" i="19"/>
  <c r="M11" i="21"/>
  <c r="L11" i="21"/>
  <c r="B32" i="19"/>
  <c r="M7" i="21"/>
  <c r="L7" i="21"/>
  <c r="L19" i="21"/>
  <c r="M19" i="21"/>
  <c r="L6" i="21"/>
  <c r="M6" i="21"/>
  <c r="M5" i="21"/>
  <c r="L5" i="21"/>
  <c r="B36" i="19"/>
  <c r="B35" i="19"/>
  <c r="L10" i="21"/>
  <c r="M10" i="21"/>
  <c r="L26" i="21"/>
  <c r="M26" i="21"/>
  <c r="L21" i="21"/>
  <c r="M21" i="21"/>
  <c r="H31" i="19"/>
  <c r="B31" i="19"/>
  <c r="H29"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HPartner_Ausfuhr" type="1" refreshedVersion="4" deleted="1" background="1" saveData="1">
    <dbPr connection="" command=""/>
  </connection>
  <connection id="2" xr16:uid="{00000000-0015-0000-FFFF-FFFF01000000}" name="AHPartner_Einfuhr" type="1" refreshedVersion="4" deleted="1" background="1" saveData="1">
    <dbPr connection="" command=""/>
  </connection>
  <connection id="3" xr16:uid="{00000000-0015-0000-FFFF-FFFF02000000}" name="AHPartner_Länderliste" type="1" refreshedVersion="4" deleted="1" background="1" saveData="1">
    <dbPr connection="" command=""/>
  </connection>
  <connection id="4" xr16:uid="{00000000-0015-0000-FFFF-FFFF03000000}" name="AHPartner_Zeitraum" type="1" refreshedVersion="4" deleted="1" background="1" saveData="1">
    <dbPr connection="" command=""/>
  </connection>
  <connection id="5" xr16:uid="{00000000-0015-0000-FFFF-FFFF04000000}" name="AHPartner_Zeitraum1" type="1" refreshedVersion="4" deleted="1" background="1" saveData="1">
    <dbPr connection="" command=""/>
  </connection>
</connections>
</file>

<file path=xl/sharedStrings.xml><?xml version="1.0" encoding="utf-8"?>
<sst xmlns="http://schemas.openxmlformats.org/spreadsheetml/2006/main" count="2703" uniqueCount="778">
  <si>
    <t>Wert</t>
  </si>
  <si>
    <t>LAND</t>
  </si>
  <si>
    <t>Partnerland</t>
  </si>
  <si>
    <t>001</t>
  </si>
  <si>
    <t>Frankreich</t>
  </si>
  <si>
    <t>002</t>
  </si>
  <si>
    <t>Belgien und Luxemburg</t>
  </si>
  <si>
    <t>003</t>
  </si>
  <si>
    <t>Niederlande</t>
  </si>
  <si>
    <t>004</t>
  </si>
  <si>
    <t>Deutschland</t>
  </si>
  <si>
    <t>005</t>
  </si>
  <si>
    <t>Italien</t>
  </si>
  <si>
    <t>006</t>
  </si>
  <si>
    <t>Vereinigtes Königreich</t>
  </si>
  <si>
    <t>007</t>
  </si>
  <si>
    <t>Irland</t>
  </si>
  <si>
    <t>008</t>
  </si>
  <si>
    <t>Dänemark</t>
  </si>
  <si>
    <t>009</t>
  </si>
  <si>
    <t>Griechenland</t>
  </si>
  <si>
    <t>010</t>
  </si>
  <si>
    <t>Portugal</t>
  </si>
  <si>
    <t>011</t>
  </si>
  <si>
    <t>Spanien</t>
  </si>
  <si>
    <t>017</t>
  </si>
  <si>
    <t>Belgien</t>
  </si>
  <si>
    <t>018</t>
  </si>
  <si>
    <t>Luxemburg</t>
  </si>
  <si>
    <t>021</t>
  </si>
  <si>
    <t>Ceuta</t>
  </si>
  <si>
    <t>022</t>
  </si>
  <si>
    <t>Ceuta u. Melilla</t>
  </si>
  <si>
    <t>023</t>
  </si>
  <si>
    <t>Melilla</t>
  </si>
  <si>
    <t>024</t>
  </si>
  <si>
    <t>Island</t>
  </si>
  <si>
    <t>027</t>
  </si>
  <si>
    <t>Svalbard</t>
  </si>
  <si>
    <t>028</t>
  </si>
  <si>
    <t>Norwegen</t>
  </si>
  <si>
    <t>030</t>
  </si>
  <si>
    <t>Schweden</t>
  </si>
  <si>
    <t>032</t>
  </si>
  <si>
    <t>Finnland</t>
  </si>
  <si>
    <t>037</t>
  </si>
  <si>
    <t>Liechtenstein</t>
  </si>
  <si>
    <t>039</t>
  </si>
  <si>
    <t>Schweiz</t>
  </si>
  <si>
    <t>041</t>
  </si>
  <si>
    <t>Färöerinseln</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</si>
  <si>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</si>
  <si>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</si>
  <si>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</si>
  <si>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</si>
  <si>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</si>
  <si>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</si>
  <si>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</si>
  <si>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</si>
  <si>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</si>
  <si>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</si>
  <si>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</si>
  <si>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</si>
  <si>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</si>
  <si>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</si>
  <si>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</si>
  <si>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</si>
  <si>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</si>
  <si>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</si>
  <si>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</si>
  <si>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</si>
  <si>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</si>
  <si>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</si>
  <si>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</si>
  <si>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</si>
  <si>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</si>
  <si>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</si>
  <si>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</si>
  <si>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</si>
  <si>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</si>
  <si>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</si>
  <si>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</si>
  <si>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</si>
  <si>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</si>
  <si>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</si>
  <si>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</si>
  <si>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t>
  </si>
  <si>
    <t>074</t>
  </si>
  <si>
    <t>Moldau</t>
  </si>
  <si>
    <t>075</t>
  </si>
  <si>
    <t>Russland</t>
  </si>
  <si>
    <t>076</t>
  </si>
  <si>
    <t>Georgien</t>
  </si>
  <si>
    <t>077</t>
  </si>
  <si>
    <t>Armenien</t>
  </si>
  <si>
    <t>078</t>
  </si>
  <si>
    <t>Aserbaidschan</t>
  </si>
  <si>
    <t>079</t>
  </si>
  <si>
    <t>Kasachstan</t>
  </si>
  <si>
    <t>080</t>
  </si>
  <si>
    <t>Turkmenistan</t>
  </si>
  <si>
    <t>081</t>
  </si>
  <si>
    <t>Usbekistan</t>
  </si>
  <si>
    <t>082</t>
  </si>
  <si>
    <t>Tadschikistan</t>
  </si>
  <si>
    <t>083</t>
  </si>
  <si>
    <t>Kirgisistan</t>
  </si>
  <si>
    <t>091</t>
  </si>
  <si>
    <t>Slowenien</t>
  </si>
  <si>
    <t>092</t>
  </si>
  <si>
    <t>Kroatien</t>
  </si>
  <si>
    <t>093</t>
  </si>
  <si>
    <t>Bosnien-Herzegowina</t>
  </si>
  <si>
    <t>094</t>
  </si>
  <si>
    <t>Serbien und Montenegro</t>
  </si>
  <si>
    <t>095</t>
  </si>
  <si>
    <t>Kosovo</t>
  </si>
  <si>
    <t>096</t>
  </si>
  <si>
    <t>Eh.jugosl.Rep.Mazedonien</t>
  </si>
  <si>
    <t>097</t>
  </si>
  <si>
    <t>Montenegro</t>
  </si>
  <si>
    <t>098</t>
  </si>
  <si>
    <t>Serbien</t>
  </si>
  <si>
    <t>204</t>
  </si>
  <si>
    <t>Marokko</t>
  </si>
  <si>
    <t>208</t>
  </si>
  <si>
    <t>Algerien</t>
  </si>
  <si>
    <t>212</t>
  </si>
  <si>
    <t>Tunesien</t>
  </si>
  <si>
    <t>216</t>
  </si>
  <si>
    <t>Libyen</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</si>
  <si>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</si>
  <si>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</si>
  <si>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</si>
  <si>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</si>
  <si>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</si>
  <si>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</si>
  <si>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</si>
  <si>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</si>
  <si>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</si>
  <si>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</si>
  <si>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</si>
  <si>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</si>
  <si>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</si>
  <si>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</si>
  <si>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</si>
  <si>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</si>
  <si>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</si>
  <si>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</si>
  <si>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</si>
  <si>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</si>
  <si>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</si>
  <si>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</si>
  <si>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</si>
  <si>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</si>
  <si>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</si>
  <si>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</si>
  <si>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</si>
  <si>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</si>
  <si>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</si>
  <si>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Elfenbeinküste</t>
  </si>
  <si>
    <t>276</t>
  </si>
  <si>
    <t>Ghana</t>
  </si>
  <si>
    <t>280</t>
  </si>
  <si>
    <t>Togo</t>
  </si>
  <si>
    <t>284</t>
  </si>
  <si>
    <t>Benin</t>
  </si>
  <si>
    <t>288</t>
  </si>
  <si>
    <t>Nigeria</t>
  </si>
  <si>
    <t>302</t>
  </si>
  <si>
    <t>Kamerun</t>
  </si>
  <si>
    <t>306</t>
  </si>
  <si>
    <t>Zentralafrikan.Republik</t>
  </si>
  <si>
    <t>310</t>
  </si>
  <si>
    <t>Äquatorialguinea</t>
  </si>
  <si>
    <t>311</t>
  </si>
  <si>
    <t>Sao Tome und Principe</t>
  </si>
  <si>
    <t>314</t>
  </si>
  <si>
    <t>Gabun</t>
  </si>
  <si>
    <t>318</t>
  </si>
  <si>
    <t>Republik Kongo</t>
  </si>
  <si>
    <t>322</t>
  </si>
  <si>
    <t>Demokrat.Republik Kongo</t>
  </si>
  <si>
    <t>324</t>
  </si>
  <si>
    <t>Ruanda</t>
  </si>
  <si>
    <t>328</t>
  </si>
  <si>
    <t>Burundi</t>
  </si>
  <si>
    <t>329</t>
  </si>
  <si>
    <t>St. Helena</t>
  </si>
  <si>
    <t>330</t>
  </si>
  <si>
    <t>Angola</t>
  </si>
  <si>
    <t>334</t>
  </si>
  <si>
    <t>Äthiopien</t>
  </si>
  <si>
    <t>336</t>
  </si>
  <si>
    <t>Eritrea</t>
  </si>
  <si>
    <t>338</t>
  </si>
  <si>
    <t>Dschibuti</t>
  </si>
  <si>
    <t>342</t>
  </si>
  <si>
    <t>Somalia</t>
  </si>
  <si>
    <t>346</t>
  </si>
  <si>
    <t>Kenia</t>
  </si>
  <si>
    <t>350</t>
  </si>
  <si>
    <t>Uganda</t>
  </si>
  <si>
    <t>352</t>
  </si>
  <si>
    <t>Tansania</t>
  </si>
  <si>
    <t>355</t>
  </si>
  <si>
    <t>Seychellen</t>
  </si>
  <si>
    <t>357</t>
  </si>
  <si>
    <t>Brit.Geb.im Ind.Ozean</t>
  </si>
  <si>
    <t>366</t>
  </si>
  <si>
    <t>Mosambik</t>
  </si>
  <si>
    <t>370</t>
  </si>
  <si>
    <t>Madagaskar</t>
  </si>
  <si>
    <t>372</t>
  </si>
  <si>
    <t>Reunion</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</si>
  <si>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</si>
  <si>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</si>
  <si>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</si>
  <si>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</si>
  <si>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</si>
  <si>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</si>
  <si>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</si>
  <si>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</si>
  <si>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</si>
  <si>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</si>
  <si>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</si>
  <si>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</si>
  <si>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</si>
  <si>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</si>
  <si>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</si>
  <si>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</si>
  <si>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</si>
  <si>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</si>
  <si>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</si>
  <si>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</si>
  <si>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</si>
  <si>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</si>
  <si>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400</t>
  </si>
  <si>
    <t>Vereinigte Staaten</t>
  </si>
  <si>
    <t>404</t>
  </si>
  <si>
    <t>Kanada</t>
  </si>
  <si>
    <t>406</t>
  </si>
  <si>
    <t>Grönland</t>
  </si>
  <si>
    <t>408</t>
  </si>
  <si>
    <t>St.Pierre und Miquelon</t>
  </si>
  <si>
    <t>412</t>
  </si>
  <si>
    <t>Mexiko</t>
  </si>
  <si>
    <t>413</t>
  </si>
  <si>
    <t>Bermuda</t>
  </si>
  <si>
    <t>416</t>
  </si>
  <si>
    <t>Guatemala</t>
  </si>
  <si>
    <t>421</t>
  </si>
  <si>
    <t>Belize</t>
  </si>
  <si>
    <t>424</t>
  </si>
  <si>
    <t>Honduras</t>
  </si>
  <si>
    <t>428</t>
  </si>
  <si>
    <t>El Salvador</t>
  </si>
  <si>
    <t>432</t>
  </si>
  <si>
    <t>Nicaragua</t>
  </si>
  <si>
    <t>436</t>
  </si>
  <si>
    <t>Costa Rica</t>
  </si>
  <si>
    <t>442</t>
  </si>
  <si>
    <t>Panama</t>
  </si>
  <si>
    <t>446</t>
  </si>
  <si>
    <t>Anguilla</t>
  </si>
  <si>
    <t>448</t>
  </si>
  <si>
    <t>Kuba</t>
  </si>
  <si>
    <t>449</t>
  </si>
  <si>
    <t>St.Kitts und Nevis</t>
  </si>
  <si>
    <t>452</t>
  </si>
  <si>
    <t>Haiti</t>
  </si>
  <si>
    <t>453</t>
  </si>
  <si>
    <t>Bahamas</t>
  </si>
  <si>
    <t>454</t>
  </si>
  <si>
    <t>Turks-und Caicosinseln</t>
  </si>
  <si>
    <t>456</t>
  </si>
  <si>
    <t>Dominikanische Republik</t>
  </si>
  <si>
    <t>457</t>
  </si>
  <si>
    <t>Amerik.Jungferninseln</t>
  </si>
  <si>
    <t>458</t>
  </si>
  <si>
    <t>Guadeloupe</t>
  </si>
  <si>
    <t>459</t>
  </si>
  <si>
    <t>Antigua und Barbuda</t>
  </si>
  <si>
    <t>460</t>
  </si>
  <si>
    <t>Dominica</t>
  </si>
  <si>
    <t>462</t>
  </si>
  <si>
    <t>Martinique</t>
  </si>
  <si>
    <t>463</t>
  </si>
  <si>
    <t>Kaimaninseln</t>
  </si>
  <si>
    <t>464</t>
  </si>
  <si>
    <t>Jamaika</t>
  </si>
  <si>
    <t>465</t>
  </si>
  <si>
    <t>St.Lucia</t>
  </si>
  <si>
    <t>467</t>
  </si>
  <si>
    <t>St.Vincent</t>
  </si>
  <si>
    <t>468</t>
  </si>
  <si>
    <t>Britische Jungferinseln</t>
  </si>
  <si>
    <t>469</t>
  </si>
  <si>
    <t>Barbados</t>
  </si>
  <si>
    <t>470</t>
  </si>
  <si>
    <t>Montserrat</t>
  </si>
  <si>
    <t>472</t>
  </si>
  <si>
    <t>Trinidad und Tobago</t>
  </si>
  <si>
    <t>473</t>
  </si>
  <si>
    <t>Grenada</t>
  </si>
  <si>
    <t>474</t>
  </si>
  <si>
    <t>Aruba</t>
  </si>
  <si>
    <t>478</t>
  </si>
  <si>
    <t>Niederländische Antillen</t>
  </si>
  <si>
    <t>480</t>
  </si>
  <si>
    <t>Kolumbien</t>
  </si>
  <si>
    <t>484</t>
  </si>
  <si>
    <t>Venezuela</t>
  </si>
  <si>
    <t>488</t>
  </si>
  <si>
    <t>Guyana</t>
  </si>
  <si>
    <t>492</t>
  </si>
  <si>
    <t>Suriname</t>
  </si>
  <si>
    <t>496</t>
  </si>
  <si>
    <t>Französisch-Guayana</t>
  </si>
  <si>
    <t>500</t>
  </si>
  <si>
    <t>Ecuador</t>
  </si>
  <si>
    <t>504</t>
  </si>
  <si>
    <t>Peru</t>
  </si>
  <si>
    <t>508</t>
  </si>
  <si>
    <t>Brasilien</t>
  </si>
  <si>
    <t>512</t>
  </si>
  <si>
    <t>Chile</t>
  </si>
  <si>
    <t>516</t>
  </si>
  <si>
    <t>Bolivien</t>
  </si>
  <si>
    <t>520</t>
  </si>
  <si>
    <t>Paraguay</t>
  </si>
  <si>
    <t>524</t>
  </si>
  <si>
    <t>Uruguay</t>
  </si>
  <si>
    <t>528</t>
  </si>
  <si>
    <t>Argentinien</t>
  </si>
  <si>
    <t>529</t>
  </si>
  <si>
    <t>Falklandinseln</t>
  </si>
  <si>
    <t>600</t>
  </si>
  <si>
    <t>Zypern</t>
  </si>
  <si>
    <t>604</t>
  </si>
  <si>
    <t>Libanon</t>
  </si>
  <si>
    <t>608</t>
  </si>
  <si>
    <t>Syrien</t>
  </si>
  <si>
    <t>612</t>
  </si>
  <si>
    <t>Irak</t>
  </si>
  <si>
    <t>616</t>
  </si>
  <si>
    <t>Iran</t>
  </si>
  <si>
    <t>624</t>
  </si>
  <si>
    <t>Israel</t>
  </si>
  <si>
    <t>625</t>
  </si>
  <si>
    <t>Besetzte palästin.Gebiete</t>
  </si>
  <si>
    <t>626</t>
  </si>
  <si>
    <t>Timor-Leste</t>
  </si>
  <si>
    <t>628</t>
  </si>
  <si>
    <t>Jordanien</t>
  </si>
  <si>
    <t>632</t>
  </si>
  <si>
    <t>Saudi-Arabien</t>
  </si>
  <si>
    <t>636</t>
  </si>
  <si>
    <t>Kuwait</t>
  </si>
  <si>
    <t>640</t>
  </si>
  <si>
    <t>Bahrain</t>
  </si>
  <si>
    <t>644</t>
  </si>
  <si>
    <t>Katar</t>
  </si>
  <si>
    <t>647</t>
  </si>
  <si>
    <t>Vereinigte Arab.Emirate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</si>
  <si>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</si>
  <si>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</si>
  <si>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</si>
  <si>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</si>
  <si>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</si>
  <si>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</si>
  <si>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</si>
  <si>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</si>
  <si>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</si>
  <si>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</si>
  <si>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</si>
  <si>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</si>
  <si>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</si>
  <si>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</si>
  <si>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</si>
  <si>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</si>
  <si>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</si>
  <si>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</si>
  <si>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</si>
  <si>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</si>
  <si>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</si>
  <si>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</si>
  <si>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</si>
  <si>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</si>
  <si>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</si>
  <si>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Laos</t>
  </si>
  <si>
    <t>690</t>
  </si>
  <si>
    <t>Vietnam</t>
  </si>
  <si>
    <t>696</t>
  </si>
  <si>
    <t>Kambodscha</t>
  </si>
  <si>
    <t>700</t>
  </si>
  <si>
    <t>Indonesien</t>
  </si>
  <si>
    <t>701</t>
  </si>
  <si>
    <t>Malaysia</t>
  </si>
  <si>
    <t>703</t>
  </si>
  <si>
    <t>Brunei</t>
  </si>
  <si>
    <t>706</t>
  </si>
  <si>
    <t>Singapur</t>
  </si>
  <si>
    <t>708</t>
  </si>
  <si>
    <t>Philippinen</t>
  </si>
  <si>
    <t>716</t>
  </si>
  <si>
    <t>Mongolei</t>
  </si>
  <si>
    <t>720</t>
  </si>
  <si>
    <t>China</t>
  </si>
  <si>
    <t>724</t>
  </si>
  <si>
    <t>Nordkorea</t>
  </si>
  <si>
    <t>728</t>
  </si>
  <si>
    <t>Südkorea</t>
  </si>
  <si>
    <t>732</t>
  </si>
  <si>
    <t>Japan</t>
  </si>
  <si>
    <t>736</t>
  </si>
  <si>
    <t>Taiwan</t>
  </si>
  <si>
    <t>740</t>
  </si>
  <si>
    <t>Hongkong</t>
  </si>
  <si>
    <t>743</t>
  </si>
  <si>
    <t>Macau</t>
  </si>
  <si>
    <t>800</t>
  </si>
  <si>
    <t>Australien</t>
  </si>
  <si>
    <t>801</t>
  </si>
  <si>
    <t>Papua-Neuguinea</t>
  </si>
  <si>
    <t>802</t>
  </si>
  <si>
    <t>Austral.Ozeanien</t>
  </si>
  <si>
    <t>803</t>
  </si>
  <si>
    <t>Nauru</t>
  </si>
  <si>
    <t>804</t>
  </si>
  <si>
    <t>Neuseeland</t>
  </si>
  <si>
    <t>806</t>
  </si>
  <si>
    <t>Salomonen</t>
  </si>
  <si>
    <t>807</t>
  </si>
  <si>
    <t>Tuvalu</t>
  </si>
  <si>
    <t>809</t>
  </si>
  <si>
    <t>Neukaledonien</t>
  </si>
  <si>
    <t>810</t>
  </si>
  <si>
    <t>Amerik.-Ozeanien</t>
  </si>
  <si>
    <t>811</t>
  </si>
  <si>
    <t>Wallis und Futuna</t>
  </si>
  <si>
    <t>812</t>
  </si>
  <si>
    <t>Kiribati</t>
  </si>
  <si>
    <t>813</t>
  </si>
  <si>
    <t>Pitcairn</t>
  </si>
  <si>
    <t>814</t>
  </si>
  <si>
    <t>Neuseeld.Ozeanien</t>
  </si>
  <si>
    <t>815</t>
  </si>
  <si>
    <t>Fidschi</t>
  </si>
  <si>
    <t>816</t>
  </si>
  <si>
    <t>Vanuatu</t>
  </si>
  <si>
    <t>817</t>
  </si>
  <si>
    <t>Tonga</t>
  </si>
  <si>
    <t>819</t>
  </si>
  <si>
    <t>Samoa</t>
  </si>
  <si>
    <t>820</t>
  </si>
  <si>
    <t>Nördliche Marianen</t>
  </si>
  <si>
    <t>822</t>
  </si>
  <si>
    <t>Frz.Polynesien</t>
  </si>
  <si>
    <t>823</t>
  </si>
  <si>
    <t>Föd.Mikronesien</t>
  </si>
  <si>
    <t>824</t>
  </si>
  <si>
    <t>Marshall-Inseln</t>
  </si>
  <si>
    <t>825</t>
  </si>
  <si>
    <t>Palau</t>
  </si>
  <si>
    <t>830</t>
  </si>
  <si>
    <t>Amerikanisch-Samoa</t>
  </si>
  <si>
    <t>831</t>
  </si>
  <si>
    <t>Guam</t>
  </si>
  <si>
    <t>832</t>
  </si>
  <si>
    <t>Kl.amerikan.Überseeinseln</t>
  </si>
  <si>
    <t>833</t>
  </si>
  <si>
    <t>Kokosinseln</t>
  </si>
  <si>
    <t>834</t>
  </si>
  <si>
    <t>Weihnachtsinseln</t>
  </si>
  <si>
    <t>835</t>
  </si>
  <si>
    <t>Heard u. McDonaldinseln</t>
  </si>
  <si>
    <t>836</t>
  </si>
  <si>
    <t>Norfolkinseln</t>
  </si>
  <si>
    <t>837</t>
  </si>
  <si>
    <t>Cookinseln</t>
  </si>
  <si>
    <t>838</t>
  </si>
  <si>
    <t>Niue</t>
  </si>
  <si>
    <t>839</t>
  </si>
  <si>
    <t>Tokelauinseln</t>
  </si>
  <si>
    <t>890</t>
  </si>
  <si>
    <t>Polargebiete</t>
  </si>
  <si>
    <t>891</t>
  </si>
  <si>
    <t>Antarktis</t>
  </si>
  <si>
    <t>892</t>
  </si>
  <si>
    <t>Bouvetinsel</t>
  </si>
  <si>
    <t>893</t>
  </si>
  <si>
    <t>Südgeorg./Südl.Sandwichi.</t>
  </si>
  <si>
    <t>894</t>
  </si>
  <si>
    <t>Französische Südgebiete</t>
  </si>
  <si>
    <t>951</t>
  </si>
  <si>
    <t>Bordvorräte EU</t>
  </si>
  <si>
    <t>952</t>
  </si>
  <si>
    <t>959</t>
  </si>
  <si>
    <t>Nicht ermitt. Gebiete EU</t>
  </si>
  <si>
    <t>960</t>
  </si>
  <si>
    <t>Nicht ermitt.Drittstaaten</t>
  </si>
  <si>
    <t>99X</t>
  </si>
  <si>
    <t>Kanarische Inseln (1998)</t>
  </si>
  <si>
    <t>Welt</t>
  </si>
  <si>
    <t>Spalte1</t>
  </si>
  <si>
    <t>Länderliste</t>
  </si>
  <si>
    <t>Jahr</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</si>
  <si>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</si>
  <si>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</si>
  <si>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</si>
  <si>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</si>
  <si>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</si>
  <si>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</si>
  <si>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</si>
  <si>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</si>
  <si>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</si>
  <si>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</si>
  <si>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</si>
  <si>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</si>
  <si>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</si>
  <si>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</si>
  <si>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</si>
  <si>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</si>
  <si>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</si>
  <si>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</si>
  <si>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</si>
  <si>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</si>
  <si>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</si>
  <si>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</si>
  <si>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</si>
  <si>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</si>
  <si>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</si>
  <si>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</si>
  <si>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</si>
  <si>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</si>
  <si>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</si>
  <si>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</si>
  <si>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</si>
  <si>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</si>
  <si>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</si>
  <si>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</si>
  <si>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</si>
  <si>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für das Jahr</t>
  </si>
  <si>
    <t>Import</t>
  </si>
  <si>
    <t>Export</t>
  </si>
  <si>
    <t>Auswahl</t>
  </si>
  <si>
    <t>Exportländer-Ranking</t>
  </si>
  <si>
    <t>Importländer-Ranking</t>
  </si>
  <si>
    <t>Auswahl_Jahr</t>
  </si>
  <si>
    <t>Basis_Jahr</t>
  </si>
  <si>
    <t>Basisjahr Index</t>
  </si>
  <si>
    <t>Veränderung</t>
  </si>
  <si>
    <t>Export_Jahre</t>
  </si>
  <si>
    <t>Import_Jahre</t>
  </si>
  <si>
    <t>VON</t>
  </si>
  <si>
    <t>BIS</t>
  </si>
  <si>
    <t>9999</t>
  </si>
  <si>
    <t>2013</t>
  </si>
  <si>
    <t>Von</t>
  </si>
  <si>
    <t>Bis</t>
  </si>
  <si>
    <t>225</t>
  </si>
  <si>
    <t>Südsudan</t>
  </si>
  <si>
    <t>229</t>
  </si>
  <si>
    <t>Westsahara</t>
  </si>
  <si>
    <t>466</t>
  </si>
  <si>
    <t>St. Barthélemy</t>
  </si>
  <si>
    <t>475</t>
  </si>
  <si>
    <t>Curacao</t>
  </si>
  <si>
    <t>477</t>
  </si>
  <si>
    <t>Bonaire, St.Eust.u.Saba</t>
  </si>
  <si>
    <t>479</t>
  </si>
  <si>
    <t>St. Martin (niederl.Teil)</t>
  </si>
  <si>
    <t>Bordvorräte Drittstaaten</t>
  </si>
  <si>
    <t>Optionsfeld_Einheit</t>
  </si>
  <si>
    <t>Einheit_Text</t>
  </si>
  <si>
    <t>Einheit_Wert</t>
  </si>
  <si>
    <t>Status</t>
  </si>
  <si>
    <t>e</t>
  </si>
  <si>
    <t>Datenstatus</t>
  </si>
  <si>
    <t>Zeitreihen_Ende</t>
  </si>
  <si>
    <t>2014</t>
  </si>
  <si>
    <t>2015</t>
  </si>
  <si>
    <t>TEXT25</t>
  </si>
  <si>
    <t>TEXT_E</t>
  </si>
  <si>
    <t>France</t>
  </si>
  <si>
    <t>Belgium and Luxemburg</t>
  </si>
  <si>
    <t>Netherlands</t>
  </si>
  <si>
    <t>Germany</t>
  </si>
  <si>
    <t>Italy</t>
  </si>
  <si>
    <t>United Kingdom</t>
  </si>
  <si>
    <t>Ireland</t>
  </si>
  <si>
    <t>Denmark</t>
  </si>
  <si>
    <t>Greece</t>
  </si>
  <si>
    <t>Spain</t>
  </si>
  <si>
    <t>Belgium</t>
  </si>
  <si>
    <t>Ceuta and Melilla</t>
  </si>
  <si>
    <t>Iceland</t>
  </si>
  <si>
    <t>Norway</t>
  </si>
  <si>
    <t>Sweden</t>
  </si>
  <si>
    <t>Finland</t>
  </si>
  <si>
    <t>Switzerland</t>
  </si>
  <si>
    <t>Faroe Islands</t>
  </si>
  <si>
    <t>Holy See</t>
  </si>
  <si>
    <t>Turkey</t>
  </si>
  <si>
    <t>Estonia</t>
  </si>
  <si>
    <t>Latvia</t>
  </si>
  <si>
    <t>Lithuania</t>
  </si>
  <si>
    <t>Poland</t>
  </si>
  <si>
    <t>Czech Republic</t>
  </si>
  <si>
    <t>Slovakia</t>
  </si>
  <si>
    <t>Hungary</t>
  </si>
  <si>
    <t>Romania</t>
  </si>
  <si>
    <t>Bulgaria</t>
  </si>
  <si>
    <t>Albania</t>
  </si>
  <si>
    <t>Belarus</t>
  </si>
  <si>
    <t>Moldova (Republic of)</t>
  </si>
  <si>
    <t>Russian Federation</t>
  </si>
  <si>
    <t>Georgia</t>
  </si>
  <si>
    <t>Armenia</t>
  </si>
  <si>
    <t>Azerbaijan</t>
  </si>
  <si>
    <t>Kazakhstan</t>
  </si>
  <si>
    <t>Uzbekistan</t>
  </si>
  <si>
    <t>Tajikistan</t>
  </si>
  <si>
    <t>Kyrgystan</t>
  </si>
  <si>
    <t>Slovenia</t>
  </si>
  <si>
    <t>Croatia</t>
  </si>
  <si>
    <t>Bosnia-Herzegovina</t>
  </si>
  <si>
    <t>Serbia and Montenegro</t>
  </si>
  <si>
    <t>Macedonia</t>
  </si>
  <si>
    <t>Serbia</t>
  </si>
  <si>
    <t>Morocco</t>
  </si>
  <si>
    <t>Algeria</t>
  </si>
  <si>
    <t>Tunisia</t>
  </si>
  <si>
    <t>Libya</t>
  </si>
  <si>
    <t>Egypt</t>
  </si>
  <si>
    <t>South Sudan</t>
  </si>
  <si>
    <t>Mauritania</t>
  </si>
  <si>
    <t>Western Sahara</t>
  </si>
  <si>
    <t>Chad</t>
  </si>
  <si>
    <t>Cape Verde</t>
  </si>
  <si>
    <t>Cote d`Ivoire</t>
  </si>
  <si>
    <t>Cameroon</t>
  </si>
  <si>
    <t>Central African Republic</t>
  </si>
  <si>
    <t>Equatorial Guinea</t>
  </si>
  <si>
    <t>Sao Tome and Principe</t>
  </si>
  <si>
    <t>Gabon</t>
  </si>
  <si>
    <t>Congo</t>
  </si>
  <si>
    <t>Congo (Dem. Rep.)</t>
  </si>
  <si>
    <t>Rwanda</t>
  </si>
  <si>
    <t>Saint Helena</t>
  </si>
  <si>
    <t>Ethiopia</t>
  </si>
  <si>
    <t>Djibouti</t>
  </si>
  <si>
    <t>Kenya</t>
  </si>
  <si>
    <t>Tanzania (United Republic of)</t>
  </si>
  <si>
    <t>Seychelles</t>
  </si>
  <si>
    <t>British Indian Ocean Territory</t>
  </si>
  <si>
    <t>Mozambique</t>
  </si>
  <si>
    <t>Madagascar</t>
  </si>
  <si>
    <t>Rèunion</t>
  </si>
  <si>
    <t>Comoros</t>
  </si>
  <si>
    <t>Zambia</t>
  </si>
  <si>
    <t>Zimbabwe</t>
  </si>
  <si>
    <t>South Africa</t>
  </si>
  <si>
    <t>Botswana</t>
  </si>
  <si>
    <t>Swaziland</t>
  </si>
  <si>
    <t>Canada</t>
  </si>
  <si>
    <t>Grennland</t>
  </si>
  <si>
    <t>St. Pierre and Miquelon</t>
  </si>
  <si>
    <t>Mexico</t>
  </si>
  <si>
    <t>Cuba</t>
  </si>
  <si>
    <t>St. Kitts and Nevis</t>
  </si>
  <si>
    <t>Turks and Caicos Islands</t>
  </si>
  <si>
    <t>Dominican Republic</t>
  </si>
  <si>
    <t>US Virgin Islands</t>
  </si>
  <si>
    <t>Antigua and Barbuda</t>
  </si>
  <si>
    <t>Cayman Islands</t>
  </si>
  <si>
    <t>Jamaica</t>
  </si>
  <si>
    <t>Saint Barthélemy</t>
  </si>
  <si>
    <t>Brit. Virgin Islands</t>
  </si>
  <si>
    <t>Trinidad and Tobago</t>
  </si>
  <si>
    <t>Curaçao</t>
  </si>
  <si>
    <t>Bonaire, Sint Eustatius and Saba</t>
  </si>
  <si>
    <t>NL Antilles</t>
  </si>
  <si>
    <t>Sint Maarten (Dutch part)</t>
  </si>
  <si>
    <t>Colombia</t>
  </si>
  <si>
    <t>French Guiana</t>
  </si>
  <si>
    <t>Brazil</t>
  </si>
  <si>
    <t>Bolivia</t>
  </si>
  <si>
    <t>Argentina</t>
  </si>
  <si>
    <t>Falkland Islands</t>
  </si>
  <si>
    <t>Cyprus</t>
  </si>
  <si>
    <t>Lebanon</t>
  </si>
  <si>
    <t>Syrian Arab. Republic</t>
  </si>
  <si>
    <t>Iraq</t>
  </si>
  <si>
    <t>Iran (Islamic Republic of)</t>
  </si>
  <si>
    <t>Occupied Palestinan Territory</t>
  </si>
  <si>
    <t>Jordan</t>
  </si>
  <si>
    <t>Saudi Arabia</t>
  </si>
  <si>
    <t>Qatar</t>
  </si>
  <si>
    <t>United Arab Emirates</t>
  </si>
  <si>
    <t>Yemen</t>
  </si>
  <si>
    <t>India</t>
  </si>
  <si>
    <t>Bangladesh</t>
  </si>
  <si>
    <t>Maldives</t>
  </si>
  <si>
    <t>Lao (Peopleïs Democratic of)</t>
  </si>
  <si>
    <t>Cambodia</t>
  </si>
  <si>
    <t>Indonesia</t>
  </si>
  <si>
    <t>Brunei Darussalam</t>
  </si>
  <si>
    <t>Singapore</t>
  </si>
  <si>
    <t>Philippines</t>
  </si>
  <si>
    <t>Mongolia</t>
  </si>
  <si>
    <t>Korea (Democr. Peopleïs Repu. of)</t>
  </si>
  <si>
    <t>Korea (Republic of)</t>
  </si>
  <si>
    <t>Hong Kong</t>
  </si>
  <si>
    <t>Macao</t>
  </si>
  <si>
    <t>Australia</t>
  </si>
  <si>
    <t>Papua New Guinea</t>
  </si>
  <si>
    <t>Australian Oceania</t>
  </si>
  <si>
    <t>New Zealand</t>
  </si>
  <si>
    <t>Solomon Islands</t>
  </si>
  <si>
    <t>New Caledonia</t>
  </si>
  <si>
    <t>American Oceania</t>
  </si>
  <si>
    <t>Wallis and Futuna</t>
  </si>
  <si>
    <t>New Zealand Oceania</t>
  </si>
  <si>
    <t>Fiji Islands</t>
  </si>
  <si>
    <t>Northern Mariana Islands</t>
  </si>
  <si>
    <t>French Polynesia</t>
  </si>
  <si>
    <t>Micronesia (Federated States of)</t>
  </si>
  <si>
    <t>Marshall Islands</t>
  </si>
  <si>
    <t>American Samoa</t>
  </si>
  <si>
    <t>Minor American Overseas Islands</t>
  </si>
  <si>
    <t>Cocos Islands</t>
  </si>
  <si>
    <t>Christmas Islands</t>
  </si>
  <si>
    <t>Heard and McDonald Islands</t>
  </si>
  <si>
    <t>Norfolk Islands</t>
  </si>
  <si>
    <t>Cook Islands</t>
  </si>
  <si>
    <t>Tokelau Islands</t>
  </si>
  <si>
    <t>Polar Regions</t>
  </si>
  <si>
    <t>Antarctic</t>
  </si>
  <si>
    <t>Bouvet Islands</t>
  </si>
  <si>
    <t>South Georgia and South Sandwich Islands</t>
  </si>
  <si>
    <t>French South Area</t>
  </si>
  <si>
    <t>Stores and Provisions Intra</t>
  </si>
  <si>
    <t>Stores and Provisions Extra</t>
  </si>
  <si>
    <t>Countries and Terr.not det. Intra</t>
  </si>
  <si>
    <t>Countries and Terr.not det. Extra</t>
  </si>
  <si>
    <t>Canary Islands</t>
  </si>
  <si>
    <t>Titel_1Teil</t>
  </si>
  <si>
    <t>Titel_2Teil</t>
  </si>
  <si>
    <t>Einheit</t>
  </si>
  <si>
    <t>Kartentitel_absolut</t>
  </si>
  <si>
    <t>Kartentitel_Veränderung</t>
  </si>
  <si>
    <t>Kartentitel_Exportentwicklung</t>
  </si>
  <si>
    <t>Kartentitel_Importentwicklung</t>
  </si>
  <si>
    <t>Metadata</t>
  </si>
  <si>
    <t>USA</t>
  </si>
  <si>
    <t>Export_Registerblatt</t>
  </si>
  <si>
    <t>Formel für Zelle B2</t>
  </si>
  <si>
    <t>Import_Registerblatt</t>
  </si>
  <si>
    <t>Nachdem die Daten aus der Datenbank in die Registerblätter Export bzw. Import eingefügt wurden, die unten stehenden Formeln in die entsprechenden Zellen eintragen</t>
  </si>
  <si>
    <t>2016</t>
  </si>
  <si>
    <t>Hohe See</t>
  </si>
  <si>
    <t>2017</t>
  </si>
  <si>
    <t>955</t>
  </si>
  <si>
    <t>High Seas</t>
  </si>
  <si>
    <t>EU14</t>
  </si>
  <si>
    <t>EU24</t>
  </si>
  <si>
    <t>EU26</t>
  </si>
  <si>
    <t>EU27</t>
  </si>
  <si>
    <t>2018</t>
  </si>
  <si>
    <t>=SVERWEIS([@LAND];Texte!$A$4:$C$261;Texte!$A$1+1;FALSCH)</t>
  </si>
  <si>
    <t>2019</t>
  </si>
  <si>
    <t>2020</t>
  </si>
  <si>
    <t>2021</t>
  </si>
  <si>
    <t>2022</t>
  </si>
  <si>
    <t>2023</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</si>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</sst>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0\ &quot;€&quot;_-;\-* #,##0.00\ &quot;€&quot;_-;_-* &quot;-&quot;??\ &quot;€&quot;_-;_-@_-"/>
    <numFmt numFmtId="166" formatCode="_-* #,##0_-;\-* #,##0_-;_-* &quot;-&quot;??_-;_-@_-"/>
  </numFmts>
  <fonts count="21" x14ac:knownFonts="1">
    <font>
      <sz val="10"/>
      <name val="Arial"/>
      <family val="2"/>
    </font>
    <font>
      <sz val="10"/>
      <name val="Arial"/>
      <family val="2"/>
    </font>
    <font>
      <sz val="8"/>
      <name val="Arial"/>
      <family val="2"/>
    </font>
    <font>
      <sz val="10"/>
      <name val="Trebuchet MS"/>
      <family val="2"/>
    </font>
    <font>
      <b/>
      <sz val="10"/>
      <name val="Trebuchet MS"/>
      <family val="2"/>
    </font>
    <font>
      <sz val="10"/>
      <color theme="1"/>
      <name val="Arial"/>
      <family val="2"/>
    </font>
    <font>
      <b/>
      <sz val="11"/>
      <color rgb="FF375F91"/>
      <name val="Trebuchet MS"/>
      <family val="2"/>
    </font>
    <font>
      <b/>
      <sz val="12"/>
      <name val="Trebuchet MS"/>
      <family val="2"/>
    </font>
    <font>
      <sz val="8"/>
      <color rgb="FF000000"/>
      <name val="Tahoma"/>
      <family val="2"/>
    </font>
    <font>
      <sz val="11"/>
      <color indexed="8"/>
      <name val="Calibri"/>
      <family val="2"/>
    </font>
    <font>
      <sz val="10"/>
      <color indexed="8"/>
      <name val="Arial"/>
      <family val="2"/>
    </font>
    <font>
      <b/>
      <sz val="8"/>
      <name val="Trebuchet MS"/>
      <family val="2"/>
    </font>
    <font>
      <sz val="10"/>
      <color indexed="8"/>
      <name val="Trebuchet MS"/>
      <family val="2"/>
    </font>
    <font>
      <b/>
      <sz val="10"/>
      <color rgb="FFFF0000"/>
      <name val="Arial"/>
      <family val="2"/>
    </font>
    <font>
      <b/>
      <sz val="10"/>
      <color rgb="FFFF0000"/>
      <name val="Trebuchet MS"/>
      <family val="2"/>
    </font>
    <font>
      <b/>
      <sz val="12"/>
      <color rgb="FFE20613"/>
      <name val="Trebuchet MS"/>
      <family val="2"/>
    </font>
    <font>
      <sz val="10"/>
      <color rgb="FFE6E6E6"/>
      <name val="Arial"/>
      <family val="2"/>
    </font>
    <font>
      <b/>
      <sz val="10"/>
      <color rgb="FF666666"/>
      <name val="Trebuchet MS"/>
      <family val="2"/>
    </font>
    <font>
      <b/>
      <sz val="10"/>
      <color theme="0"/>
      <name val="Arial"/>
      <family val="2"/>
    </font>
    <font>
      <sz val="11"/>
      <color indexed="8"/>
      <name val="Calibri"/>
      <family val="2"/>
    </font>
    <font>
      <sz val="10"/>
      <color indexed="8"/>
      <name val="Arial"/>
      <family val="2"/>
    </font>
  </fonts>
  <fills count="6">
    <fill>
      <patternFill patternType="none"/>
    </fill>
    <fill>
      <patternFill patternType="gray125"/>
    </fill>
    <fill>
      <patternFill patternType="solid">
        <fgColor indexed="44"/>
        <bgColor indexed="64"/>
      </patternFill>
    </fill>
    <fill>
      <patternFill patternType="solid">
        <fgColor indexed="22"/>
        <bgColor indexed="0"/>
      </patternFill>
    </fill>
    <fill>
      <patternFill patternType="solid">
        <fgColor rgb="FFFFFF00"/>
        <bgColor indexed="64"/>
      </patternFill>
    </fill>
    <fill>
      <patternFill patternType="solid">
        <fgColor rgb="FFE6E6E6"/>
        <bgColor indexed="64"/>
      </patternFill>
    </fill>
  </fills>
  <borders count="7">
    <border>
      <left/>
      <right/>
      <top/>
      <bottom/>
      <diagonal/>
    </border>
    <border>
      <left style="thin">
        <color theme="0"/>
      </left>
      <right/>
      <top style="thin">
        <color theme="0"/>
      </top>
      <bottom style="thin">
        <color theme="0"/>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bottom style="thin">
        <color rgb="FFE20613"/>
      </bottom>
      <diagonal/>
    </border>
    <border>
      <left/>
      <right/>
      <top/>
      <bottom style="thin">
        <color rgb="FFE20613"/>
      </bottom>
      <diagonal/>
    </border>
  </borders>
  <cellStyleXfs count="9">
    <xf numFmtId="0" fontId="0" fillId="0" borderId="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20" fillId="0" borderId="0"/>
    <xf numFmtId="0" fontId="10" fillId="0" borderId="0"/>
    <xf numFmtId="0" fontId="10" fillId="0" borderId="0"/>
  </cellStyleXfs>
  <cellXfs count="78">
    <xf numFmtId="0" fontId="0" fillId="0" borderId="0" xfId="0"/>
    <xf numFmtId="164" fontId="0" fillId="0" borderId="0" xfId="0" applyNumberFormat="1"/>
    <xf numFmtId="0" fontId="0" fillId="0" borderId="0" xfId="0" applyAlignment="1">
      <alignment horizontal="center"/>
    </xf>
    <xf numFmtId="0" fontId="1" fillId="0" borderId="0" xfId="0" applyFont="1" applyAlignment="1">
      <alignment horizontal="center"/>
    </xf>
    <xf numFmtId="0" fontId="0" fillId="0" borderId="0" xfId="0" applyAlignment="1">
      <alignment horizontal="right"/>
    </xf>
    <xf numFmtId="0" fontId="0" fillId="0" borderId="0" xfId="0" quotePrefix="1"/>
    <xf numFmtId="0" fontId="3" fillId="0" borderId="0" xfId="0" applyFont="1"/>
    <xf numFmtId="0" fontId="0" fillId="0" borderId="0" xfId="0" applyAlignment="1">
      <alignment horizontal="center"/>
    </xf>
    <xf numFmtId="0" fontId="0" fillId="0" borderId="2" xfId="0" applyBorder="1"/>
    <xf numFmtId="0" fontId="0" fillId="0" borderId="0" xfId="0" applyBorder="1"/>
    <xf numFmtId="0" fontId="5" fillId="2" borderId="1" xfId="0" applyFont="1" applyFill="1" applyBorder="1" applyAlignment="1">
      <alignment horizontal="right"/>
    </xf>
    <xf numFmtId="0" fontId="0" fillId="0" borderId="0" xfId="0" applyFill="1" applyBorder="1"/>
    <xf numFmtId="0" fontId="1" fillId="0" borderId="0" xfId="0" applyFont="1" applyFill="1" applyBorder="1" applyAlignment="1">
      <alignment horizontal="right"/>
    </xf>
    <xf numFmtId="0" fontId="0" fillId="0" borderId="0" xfId="0" applyFill="1" applyBorder="1" applyAlignment="1">
      <alignment horizontal="right"/>
    </xf>
    <xf numFmtId="0" fontId="3" fillId="0" borderId="0" xfId="0" applyFont="1" applyBorder="1"/>
    <xf numFmtId="166" fontId="3" fillId="0" borderId="0" xfId="2" applyNumberFormat="1" applyFont="1" applyBorder="1"/>
    <xf numFmtId="0" fontId="0" fillId="0" borderId="0" xfId="0" applyFont="1" applyAlignment="1">
      <alignment horizontal="center"/>
    </xf>
    <xf numFmtId="0" fontId="0" fillId="2" borderId="0" xfId="0" applyFont="1" applyFill="1" applyAlignment="1">
      <alignment horizontal="right"/>
    </xf>
    <xf numFmtId="0" fontId="7" fillId="0" borderId="0" xfId="0" applyFont="1" applyBorder="1"/>
    <xf numFmtId="1" fontId="0" fillId="0" borderId="0" xfId="0" applyNumberFormat="1"/>
    <xf numFmtId="166" fontId="3" fillId="0" borderId="0" xfId="2" applyNumberFormat="1" applyFont="1" applyFill="1" applyBorder="1"/>
    <xf numFmtId="166" fontId="0" fillId="0" borderId="0" xfId="0" applyNumberFormat="1" applyBorder="1" applyAlignment="1">
      <alignment horizontal="right"/>
    </xf>
    <xf numFmtId="0" fontId="3" fillId="0" borderId="0" xfId="0" applyFont="1" applyBorder="1" applyAlignment="1">
      <alignment wrapText="1"/>
    </xf>
    <xf numFmtId="0" fontId="3" fillId="0" borderId="0" xfId="0" applyFont="1" applyBorder="1" applyAlignment="1"/>
    <xf numFmtId="166" fontId="3" fillId="0" borderId="0" xfId="2" applyNumberFormat="1" applyFont="1" applyBorder="1" applyAlignment="1"/>
    <xf numFmtId="0" fontId="4" fillId="0" borderId="0" xfId="0" applyFont="1" applyFill="1" applyBorder="1" applyAlignment="1"/>
    <xf numFmtId="0" fontId="4" fillId="0" borderId="0" xfId="0" applyFont="1" applyFill="1" applyBorder="1"/>
    <xf numFmtId="166" fontId="4" fillId="0" borderId="0" xfId="2" applyNumberFormat="1" applyFont="1" applyFill="1" applyBorder="1" applyAlignment="1"/>
    <xf numFmtId="0" fontId="9" fillId="3" borderId="3" xfId="4" applyFont="1" applyFill="1" applyBorder="1" applyAlignment="1">
      <alignment horizontal="center"/>
    </xf>
    <xf numFmtId="0" fontId="9" fillId="0" borderId="4" xfId="4" applyFont="1" applyFill="1" applyBorder="1" applyAlignment="1"/>
    <xf numFmtId="0" fontId="3" fillId="0" borderId="0" xfId="0" applyFont="1" applyBorder="1" applyAlignment="1">
      <alignment horizontal="right"/>
    </xf>
    <xf numFmtId="0" fontId="11" fillId="0" borderId="0" xfId="0" applyFont="1" applyBorder="1" applyAlignment="1">
      <alignment horizontal="center"/>
    </xf>
    <xf numFmtId="0" fontId="12" fillId="3" borderId="3" xfId="5" applyFont="1" applyFill="1" applyBorder="1" applyAlignment="1">
      <alignment horizontal="center"/>
    </xf>
    <xf numFmtId="0" fontId="12" fillId="0" borderId="4" xfId="5" applyFont="1" applyFill="1" applyBorder="1" applyAlignment="1"/>
    <xf numFmtId="0" fontId="4" fillId="0" borderId="0" xfId="0" applyFont="1"/>
    <xf numFmtId="164" fontId="3" fillId="0" borderId="0" xfId="3" applyNumberFormat="1" applyFont="1" applyFill="1" applyBorder="1"/>
    <xf numFmtId="0" fontId="13" fillId="0" borderId="0" xfId="0" applyFont="1"/>
    <xf numFmtId="0" fontId="3" fillId="4" borderId="0" xfId="0" applyFont="1" applyFill="1"/>
    <xf numFmtId="0" fontId="3" fillId="4" borderId="0" xfId="0" quotePrefix="1" applyFont="1" applyFill="1"/>
    <xf numFmtId="0" fontId="14" fillId="4" borderId="0" xfId="0" applyFont="1" applyFill="1"/>
    <xf numFmtId="0" fontId="9" fillId="3" borderId="3" xfId="5" applyFont="1" applyFill="1" applyBorder="1" applyAlignment="1">
      <alignment horizontal="center"/>
    </xf>
    <xf numFmtId="0" fontId="9" fillId="0" borderId="4" xfId="5" applyFont="1" applyFill="1" applyBorder="1" applyAlignment="1">
      <alignment wrapText="1"/>
    </xf>
    <xf numFmtId="0" fontId="6" fillId="5" borderId="0" xfId="0" applyFont="1" applyFill="1" applyBorder="1"/>
    <xf numFmtId="0" fontId="0" fillId="5" borderId="0" xfId="0" applyFill="1" applyBorder="1"/>
    <xf numFmtId="0" fontId="15" fillId="5" borderId="0" xfId="0" applyFont="1" applyFill="1" applyBorder="1" applyAlignment="1">
      <alignment horizontal="center"/>
    </xf>
    <xf numFmtId="0" fontId="7" fillId="5" borderId="0" xfId="0" applyFont="1" applyFill="1" applyBorder="1" applyAlignment="1">
      <alignment horizontal="right"/>
    </xf>
    <xf numFmtId="0" fontId="16" fillId="5" borderId="0" xfId="0" applyFont="1" applyFill="1" applyBorder="1"/>
    <xf numFmtId="0" fontId="4" fillId="5" borderId="5" xfId="0" applyFont="1" applyFill="1" applyBorder="1"/>
    <xf numFmtId="0" fontId="0" fillId="5" borderId="6" xfId="0" applyFill="1" applyBorder="1"/>
    <xf numFmtId="0" fontId="3" fillId="5" borderId="6" xfId="0" applyFont="1" applyFill="1" applyBorder="1" applyAlignment="1">
      <alignment horizontal="center"/>
    </xf>
    <xf numFmtId="0" fontId="7" fillId="5" borderId="0" xfId="0" applyFont="1" applyFill="1" applyBorder="1"/>
    <xf numFmtId="0" fontId="3" fillId="0" borderId="0" xfId="0" applyFont="1" applyBorder="1" applyAlignment="1">
      <alignment horizontal="left"/>
    </xf>
    <xf numFmtId="0" fontId="3" fillId="0" borderId="0" xfId="0" applyFont="1" applyFill="1" applyBorder="1"/>
    <xf numFmtId="0" fontId="4" fillId="0" borderId="0" xfId="0" applyFont="1" applyBorder="1"/>
    <xf numFmtId="0" fontId="3" fillId="5" borderId="0" xfId="0" applyFont="1" applyFill="1" applyBorder="1"/>
    <xf numFmtId="0" fontId="7" fillId="5" borderId="6" xfId="0" applyFont="1" applyFill="1" applyBorder="1" applyAlignment="1">
      <alignment horizontal="center"/>
    </xf>
    <xf numFmtId="0" fontId="3" fillId="5" borderId="6" xfId="0" applyFont="1" applyFill="1" applyBorder="1" applyAlignment="1">
      <alignment horizontal="left"/>
    </xf>
    <xf numFmtId="0" fontId="3" fillId="5" borderId="6" xfId="0" applyFont="1" applyFill="1" applyBorder="1"/>
    <xf numFmtId="0" fontId="15" fillId="5" borderId="6" xfId="0" applyFont="1" applyFill="1" applyBorder="1" applyAlignment="1">
      <alignment horizontal="right"/>
    </xf>
    <xf numFmtId="0" fontId="3" fillId="5" borderId="0" xfId="0" applyFont="1" applyFill="1" applyBorder="1" applyAlignment="1"/>
    <xf numFmtId="166" fontId="3" fillId="5" borderId="0" xfId="2" applyNumberFormat="1" applyFont="1" applyFill="1" applyBorder="1"/>
    <xf numFmtId="164" fontId="3" fillId="5" borderId="0" xfId="3" applyNumberFormat="1" applyFont="1" applyFill="1" applyBorder="1"/>
    <xf numFmtId="166" fontId="3" fillId="5" borderId="0" xfId="2" applyNumberFormat="1" applyFont="1" applyFill="1" applyBorder="1" applyAlignment="1"/>
    <xf numFmtId="0" fontId="17" fillId="5" borderId="6" xfId="0" applyFont="1" applyFill="1" applyBorder="1"/>
    <xf numFmtId="0" fontId="18" fillId="0" borderId="0" xfId="0" applyFont="1"/>
    <xf numFmtId="0" fontId="12" fillId="0" borderId="4" xfId="5" quotePrefix="1" applyFont="1" applyFill="1" applyBorder="1" applyAlignment="1"/>
    <xf numFmtId="0" fontId="19" fillId="0" borderId="4" xfId="6" applyFont="1" applyFill="1" applyBorder="1" applyAlignment="1">
      <alignment wrapText="1"/>
    </xf>
    <xf numFmtId="0" fontId="9" fillId="3" borderId="3" xfId="7" applyFont="1" applyFill="1" applyBorder="1" applyAlignment="1">
      <alignment horizontal="center"/>
    </xf>
    <xf numFmtId="0" fontId="9" fillId="0" borderId="4" xfId="7" applyFont="1" applyFill="1" applyBorder="1" applyAlignment="1">
      <alignment wrapText="1"/>
    </xf>
    <xf numFmtId="0" fontId="9" fillId="0" borderId="4" xfId="7" applyFont="1" applyFill="1" applyBorder="1" applyAlignment="1">
      <alignment horizontal="right" wrapText="1"/>
    </xf>
    <xf numFmtId="0" fontId="10" fillId="0" borderId="0" xfId="7"/>
    <xf numFmtId="0" fontId="9" fillId="3" borderId="3" xfId="8" applyFont="1" applyFill="1" applyBorder="1" applyAlignment="1">
      <alignment horizontal="center"/>
    </xf>
    <xf numFmtId="0" fontId="9" fillId="0" borderId="4" xfId="8" applyFont="1" applyFill="1" applyBorder="1" applyAlignment="1">
      <alignment wrapText="1"/>
    </xf>
    <xf numFmtId="0" fontId="9" fillId="0" borderId="4" xfId="8" applyFont="1" applyFill="1" applyBorder="1" applyAlignment="1">
      <alignment horizontal="right" wrapText="1"/>
    </xf>
    <xf numFmtId="0" fontId="10" fillId="0" borderId="0" xfId="8"/>
    <xf numFmtId="0" fontId="7" fillId="5" borderId="0" xfId="0" applyFont="1" applyFill="1" applyBorder="1" applyAlignment="1">
      <alignment horizontal="right"/>
    </xf>
    <xf numFmtId="0" fontId="7" fillId="5" borderId="6" xfId="0" applyFont="1" applyFill="1" applyBorder="1" applyAlignment="1">
      <alignment horizontal="right"/>
    </xf>
    <xf numFmtId="0" fontId="0" fillId="0" borderId="0" xfId="0" applyAlignment="1">
      <alignment horizontal="center"/>
    </xf>
  </cellXfs>
  <cellStyles count="9">
    <cellStyle name="Euro" xfId="1" xr:uid="{00000000-0005-0000-0000-000000000000}"/>
    <cellStyle name="Komma" xfId="2" builtinId="3"/>
    <cellStyle name="Prozent" xfId="3" builtinId="5"/>
    <cellStyle name="Standard" xfId="0" builtinId="0"/>
    <cellStyle name="Standard_Dropdown" xfId="4" xr:uid="{00000000-0005-0000-0000-000004000000}"/>
    <cellStyle name="Standard_Export" xfId="7" xr:uid="{5C729EB7-2D48-4A51-A343-27F92644DCC0}"/>
    <cellStyle name="Standard_Export_1" xfId="6" xr:uid="{00000000-0005-0000-0000-000005000000}"/>
    <cellStyle name="Standard_Import" xfId="8" xr:uid="{7B03772C-A3AD-4C9B-88D8-C0776B032DF0}"/>
    <cellStyle name="Standard_Texte" xfId="5" xr:uid="{00000000-0005-0000-0000-000007000000}"/>
  </cellStyles>
  <dxfs count="174">
    <dxf>
      <alignment vertical="bottom" textRotation="0" wrapText="0" indent="0" justifyLastLine="0" shrinkToFit="0" readingOrder="0"/>
    </dxf>
    <dxf>
      <alignment vertical="bottom" textRotation="0" wrapText="0" indent="0" justifyLastLine="0" shrinkToFit="0" readingOrder="0"/>
    </dxf>
    <dxf>
      <alignment horizontal="center"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indexed="65"/>
        </patternFill>
      </fill>
    </dxf>
    <dxf>
      <fill>
        <patternFill patternType="none">
          <fgColor indexed="64"/>
          <bgColor indexed="65"/>
        </patternFill>
      </fill>
    </dxf>
    <dxf>
      <numFmt numFmtId="0" formatCode="General"/>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67" formatCode="###;\-###"/>
    </dxf>
    <dxf>
      <numFmt numFmtId="168" formatCode="###&quot;,&quot;###;\-###&quot;,&quot;###"/>
    </dxf>
    <dxf>
      <numFmt numFmtId="169" formatCode="###&quot;,&quot;###&quot;,&quot;###;\-###&quot;,&quot;###&quot;,&quot;###"/>
    </dxf>
    <dxf>
      <numFmt numFmtId="170" formatCode="###&quot;,&quot;###&quot;,&quot;###&quot;,&quot;###;\-###&quot;,&quot;###&quot;,&quot;###&quot;,&quot;###"/>
    </dxf>
    <dxf>
      <numFmt numFmtId="171" formatCode="###&quot;,&quot;###&quot;,&quot;###&quot;,&quot;###&quot;,&quot;###;\-###&quot;,&quot;###&quot;,&quot;###&quot;,&quot;###&quot;,&quot;###"/>
    </dxf>
    <dxf>
      <numFmt numFmtId="171" formatCode="###&quot;,&quot;###&quot;,&quot;###&quot;,&quot;###&quot;,&quot;###;\-###&quot;,&quot;###&quot;,&quot;###&quot;,&quot;###&quot;,&quot;###"/>
    </dxf>
    <dxf>
      <numFmt numFmtId="170" formatCode="###&quot;,&quot;###&quot;,&quot;###&quot;,&quot;###;\-###&quot;,&quot;###&quot;,&quot;###&quot;,&quot;###"/>
    </dxf>
    <dxf>
      <numFmt numFmtId="169" formatCode="###&quot;,&quot;###&quot;,&quot;###;\-###&quot;,&quot;###&quot;,&quot;###"/>
    </dxf>
    <dxf>
      <numFmt numFmtId="168" formatCode="###&quot;,&quot;###;\-###&quot;,&quot;###"/>
    </dxf>
    <dxf>
      <numFmt numFmtId="167" formatCode="###;\-###"/>
    </dxf>
    <dxf>
      <numFmt numFmtId="172" formatCode="0&quot;.&quot;0"/>
    </dxf>
    <dxf>
      <font>
        <b/>
        <i val="0"/>
        <color rgb="FFE20613"/>
      </font>
      <numFmt numFmtId="0" formatCode="General"/>
      <fill>
        <patternFill patternType="solid">
          <bgColor rgb="FFE6E6E6"/>
        </patternFill>
      </fill>
    </dxf>
    <dxf>
      <font>
        <b/>
        <i val="0"/>
        <color rgb="FFE20613"/>
      </font>
      <fill>
        <patternFill patternType="solid">
          <bgColor rgb="FFE6E6E6"/>
        </patternFill>
      </fill>
    </dxf>
  </dxfs>
  <tableStyles count="0" defaultTableStyle="TableStyleMedium9" defaultPivotStyle="PivotStyleLight16"/>
  <colors>
    <mruColors>
      <color rgb="FFE6E6E6"/>
      <color rgb="FF666666"/>
      <color rgb="FFE20613"/>
      <color rgb="FFCCCCCC"/>
      <color rgb="FFFC8086"/>
      <color rgb="FFB3B3B3"/>
      <color rgb="FF963737"/>
      <color rgb="FFD2D2D2"/>
      <color rgb="FF375F91"/>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[0]!Kartentitel_absolut</c:f>
          <c:strCache>
            <c:ptCount val="1"/>
            <c:pt idx="0">
              <c:v>Außenhandelsergebnisse in 1000 Euro</c:v>
            </c:pt>
          </c:strCache>
        </c:strRef>
      </c:tx>
      <c:layout>
        <c:manualLayout>
          <c:xMode val="edge"/>
          <c:yMode val="edge"/>
          <c:x val="7.1250120904370967E-2"/>
          <c:y val="1.860885203778662E-2"/>
        </c:manualLayout>
      </c:layout>
      <c:overlay val="0"/>
      <c:txPr>
        <a:bodyPr/>
        <a:lstStyle/>
        <a:p>
          <a:pPr>
            <a:defRPr sz="1200"/>
          </a:pPr>
          <a:endParaRPr lang="de-DE"/>
        </a:p>
      </c:txPr>
    </c:title>
    <c:autoTitleDeleted val="0"/>
    <c:plotArea>
      <c:layout>
        <c:manualLayout>
          <c:layoutTarget val="inner"/>
          <c:xMode val="edge"/>
          <c:yMode val="edge"/>
          <c:x val="9.7458661417322831E-2"/>
          <c:y val="0.13468131353517324"/>
          <c:w val="0.86689664897236129"/>
          <c:h val="0.67395991678540113"/>
        </c:manualLayout>
      </c:layout>
      <c:lineChart>
        <c:grouping val="standard"/>
        <c:varyColors val="0"/>
        <c:ser>
          <c:idx val="0"/>
          <c:order val="0"/>
          <c:tx>
            <c:strRef>
              <c:f>Dashboard!$N$5</c:f>
              <c:strCache>
                <c:ptCount val="1"/>
                <c:pt idx="0">
                  <c:v>Export</c:v>
                </c:pt>
              </c:strCache>
            </c:strRef>
          </c:tx>
          <c:spPr>
            <a:ln>
              <a:solidFill>
                <a:srgbClr val="E20613"/>
              </a:solidFill>
            </a:ln>
          </c:spPr>
          <c:marker>
            <c:symbol val="none"/>
          </c:marker>
          <c:cat>
            <c:numRef>
              <c:f>[0]!Diagramm_Absolut_Jahreszahlen</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[0]!Diagramm_Absolut_Exporte</c:f>
              <c:numCache>
                <c:formatCode>0</c:formatCode>
                <c:ptCount val="46"/>
                <c:pt idx="0">
                  <c:v>3725197</c:v>
                </c:pt>
                <c:pt idx="1">
                  <c:v>4540913</c:v>
                </c:pt>
                <c:pt idx="2">
                  <c:v>5069619</c:v>
                </c:pt>
                <c:pt idx="3">
                  <c:v>5328028</c:v>
                </c:pt>
                <c:pt idx="4">
                  <c:v>5687949</c:v>
                </c:pt>
                <c:pt idx="5">
                  <c:v>6202415</c:v>
                </c:pt>
                <c:pt idx="6">
                  <c:v>6769230</c:v>
                </c:pt>
                <c:pt idx="7">
                  <c:v>7748290</c:v>
                </c:pt>
                <c:pt idx="8">
                  <c:v>8149725</c:v>
                </c:pt>
                <c:pt idx="9">
                  <c:v>8667774</c:v>
                </c:pt>
                <c:pt idx="10">
                  <c:v>9755282</c:v>
                </c:pt>
                <c:pt idx="11">
                  <c:v>10768157</c:v>
                </c:pt>
                <c:pt idx="12">
                  <c:v>12429707</c:v>
                </c:pt>
                <c:pt idx="13">
                  <c:v>13589659</c:v>
                </c:pt>
                <c:pt idx="14">
                  <c:v>14108379</c:v>
                </c:pt>
                <c:pt idx="15">
                  <c:v>13244669</c:v>
                </c:pt>
                <c:pt idx="16">
                  <c:v>14193565</c:v>
                </c:pt>
                <c:pt idx="17">
                  <c:v>16167819.887</c:v>
                </c:pt>
                <c:pt idx="18">
                  <c:v>16645118.116</c:v>
                </c:pt>
                <c:pt idx="19">
                  <c:v>18230312.333000001</c:v>
                </c:pt>
                <c:pt idx="20">
                  <c:v>20243073.984000001</c:v>
                </c:pt>
                <c:pt idx="21">
                  <c:v>21054807.054000001</c:v>
                </c:pt>
                <c:pt idx="22">
                  <c:v>23244003.57</c:v>
                </c:pt>
                <c:pt idx="23">
                  <c:v>24160020.311999999</c:v>
                </c:pt>
                <c:pt idx="24">
                  <c:v>24779810.649999999</c:v>
                </c:pt>
                <c:pt idx="25">
                  <c:v>25090500.368999999</c:v>
                </c:pt>
                <c:pt idx="26">
                  <c:v>28951269.316</c:v>
                </c:pt>
                <c:pt idx="27">
                  <c:v>30108216.609999999</c:v>
                </c:pt>
                <c:pt idx="28">
                  <c:v>31475202.076000001</c:v>
                </c:pt>
                <c:pt idx="29">
                  <c:v>34446478.248999998</c:v>
                </c:pt>
                <c:pt idx="30">
                  <c:v>35009741.513999999</c:v>
                </c:pt>
                <c:pt idx="31">
                  <c:v>29179081.971000001</c:v>
                </c:pt>
                <c:pt idx="32">
                  <c:v>34529550.237999998</c:v>
                </c:pt>
                <c:pt idx="33">
                  <c:v>38041817.902999997</c:v>
                </c:pt>
                <c:pt idx="34">
                  <c:v>37843019.420000002</c:v>
                </c:pt>
                <c:pt idx="35">
                  <c:v>37873472.506999999</c:v>
                </c:pt>
                <c:pt idx="36">
                  <c:v>38082065.568000004</c:v>
                </c:pt>
                <c:pt idx="37">
                  <c:v>39476866.331</c:v>
                </c:pt>
                <c:pt idx="38">
                  <c:v>40054745.163999997</c:v>
                </c:pt>
                <c:pt idx="39">
                  <c:v>42864301.982000001</c:v>
                </c:pt>
                <c:pt idx="40">
                  <c:v>45235259.479000002</c:v>
                </c:pt>
                <c:pt idx="41">
                  <c:v>45032957.678999998</c:v>
                </c:pt>
                <c:pt idx="42">
                  <c:v>43430562.068999998</c:v>
                </c:pt>
                <c:pt idx="43">
                  <c:v>49925358.895000003</c:v>
                </c:pt>
                <c:pt idx="44">
                  <c:v>58012459.368000001</c:v>
                </c:pt>
                <c:pt idx="45">
                  <c:v>58504110.906000003</c:v>
                </c:pt>
              </c:numCache>
            </c:numRef>
          </c:val>
          <c:smooth val="0"/>
          <c:extLst>
            <c:ext xmlns:c16="http://schemas.microsoft.com/office/drawing/2014/chart" uri="{C3380CC4-5D6E-409C-BE32-E72D297353CC}">
              <c16:uniqueId val="{00000000-529A-4A3C-A828-F79F39042DAB}"/>
            </c:ext>
          </c:extLst>
        </c:ser>
        <c:ser>
          <c:idx val="1"/>
          <c:order val="1"/>
          <c:tx>
            <c:strRef>
              <c:f>Dashboard!$K$2</c:f>
              <c:strCache>
                <c:ptCount val="1"/>
                <c:pt idx="0">
                  <c:v>Import</c:v>
                </c:pt>
              </c:strCache>
            </c:strRef>
          </c:tx>
          <c:spPr>
            <a:ln>
              <a:solidFill>
                <a:srgbClr val="666666"/>
              </a:solidFill>
            </a:ln>
          </c:spPr>
          <c:marker>
            <c:symbol val="none"/>
          </c:marker>
          <c:cat>
            <c:numRef>
              <c:f>[0]!Diagramm_Absolut_Jahreszahlen</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[0]!Diagramm_Absolut_Importe</c:f>
              <c:numCache>
                <c:formatCode>0</c:formatCode>
                <c:ptCount val="46"/>
                <c:pt idx="0">
                  <c:v>7302232</c:v>
                </c:pt>
                <c:pt idx="1">
                  <c:v>8301883</c:v>
                </c:pt>
                <c:pt idx="2">
                  <c:v>9367407</c:v>
                </c:pt>
                <c:pt idx="3">
                  <c:v>9447237</c:v>
                </c:pt>
                <c:pt idx="4">
                  <c:v>9806677</c:v>
                </c:pt>
                <c:pt idx="5">
                  <c:v>10508051</c:v>
                </c:pt>
                <c:pt idx="6">
                  <c:v>11375844</c:v>
                </c:pt>
                <c:pt idx="7">
                  <c:v>12818358</c:v>
                </c:pt>
                <c:pt idx="8">
                  <c:v>13042004</c:v>
                </c:pt>
                <c:pt idx="9">
                  <c:v>13222888</c:v>
                </c:pt>
                <c:pt idx="10">
                  <c:v>14603078</c:v>
                </c:pt>
                <c:pt idx="11">
                  <c:v>16316473</c:v>
                </c:pt>
                <c:pt idx="12">
                  <c:v>17664424</c:v>
                </c:pt>
                <c:pt idx="13">
                  <c:v>18505701</c:v>
                </c:pt>
                <c:pt idx="14">
                  <c:v>18505011</c:v>
                </c:pt>
                <c:pt idx="15">
                  <c:v>17019443</c:v>
                </c:pt>
                <c:pt idx="16">
                  <c:v>18295530</c:v>
                </c:pt>
                <c:pt idx="17">
                  <c:v>21162496.851</c:v>
                </c:pt>
                <c:pt idx="18">
                  <c:v>22205880.182999998</c:v>
                </c:pt>
                <c:pt idx="19">
                  <c:v>23932815.851</c:v>
                </c:pt>
                <c:pt idx="20">
                  <c:v>25572237.006000001</c:v>
                </c:pt>
                <c:pt idx="21">
                  <c:v>27379802.945</c:v>
                </c:pt>
                <c:pt idx="22">
                  <c:v>30533996.706</c:v>
                </c:pt>
                <c:pt idx="23">
                  <c:v>31901114.750999998</c:v>
                </c:pt>
                <c:pt idx="24">
                  <c:v>31085527.177000001</c:v>
                </c:pt>
                <c:pt idx="25">
                  <c:v>33189967.059999999</c:v>
                </c:pt>
                <c:pt idx="26">
                  <c:v>39130293.618000001</c:v>
                </c:pt>
                <c:pt idx="27">
                  <c:v>40732762.078000002</c:v>
                </c:pt>
                <c:pt idx="28">
                  <c:v>43263947.011</c:v>
                </c:pt>
                <c:pt idx="29">
                  <c:v>47498026.629000001</c:v>
                </c:pt>
                <c:pt idx="30">
                  <c:v>48490087.452</c:v>
                </c:pt>
                <c:pt idx="31">
                  <c:v>39827237.608999997</c:v>
                </c:pt>
                <c:pt idx="32">
                  <c:v>44851304.177000001</c:v>
                </c:pt>
                <c:pt idx="33">
                  <c:v>50050447.825999998</c:v>
                </c:pt>
                <c:pt idx="34">
                  <c:v>49587145.479999997</c:v>
                </c:pt>
                <c:pt idx="35">
                  <c:v>49020287.583999999</c:v>
                </c:pt>
                <c:pt idx="36">
                  <c:v>48543290.417000003</c:v>
                </c:pt>
                <c:pt idx="37">
                  <c:v>49243680.358000003</c:v>
                </c:pt>
                <c:pt idx="38">
                  <c:v>50413887.116999999</c:v>
                </c:pt>
                <c:pt idx="39">
                  <c:v>54399256.851000004</c:v>
                </c:pt>
                <c:pt idx="40">
                  <c:v>55850258.066</c:v>
                </c:pt>
                <c:pt idx="41">
                  <c:v>55225810.637999997</c:v>
                </c:pt>
                <c:pt idx="42">
                  <c:v>50514657.633000001</c:v>
                </c:pt>
                <c:pt idx="43">
                  <c:v>59150269.814999998</c:v>
                </c:pt>
                <c:pt idx="44">
                  <c:v>69021883.199000001</c:v>
                </c:pt>
                <c:pt idx="45">
                  <c:v>63848099.957000002</c:v>
                </c:pt>
              </c:numCache>
            </c:numRef>
          </c:val>
          <c:smooth val="0"/>
          <c:extLst>
            <c:ext xmlns:c16="http://schemas.microsoft.com/office/drawing/2014/chart" uri="{C3380CC4-5D6E-409C-BE32-E72D297353CC}">
              <c16:uniqueId val="{00000001-529A-4A3C-A828-F79F39042DAB}"/>
            </c:ext>
          </c:extLst>
        </c:ser>
        <c:dLbls>
          <c:showLegendKey val="0"/>
          <c:showVal val="0"/>
          <c:showCatName val="0"/>
          <c:showSerName val="0"/>
          <c:showPercent val="0"/>
          <c:showBubbleSize val="0"/>
        </c:dLbls>
        <c:smooth val="0"/>
        <c:axId val="42812544"/>
        <c:axId val="42814848"/>
      </c:lineChart>
      <c:catAx>
        <c:axId val="42812544"/>
        <c:scaling>
          <c:orientation val="minMax"/>
        </c:scaling>
        <c:delete val="0"/>
        <c:axPos val="b"/>
        <c:numFmt formatCode="General" sourceLinked="1"/>
        <c:majorTickMark val="out"/>
        <c:minorTickMark val="none"/>
        <c:tickLblPos val="nextTo"/>
        <c:spPr>
          <a:ln w="6350">
            <a:solidFill>
              <a:srgbClr val="B3B3B3"/>
            </a:solidFill>
          </a:ln>
        </c:spPr>
        <c:txPr>
          <a:bodyPr rot="-5400000" vert="horz"/>
          <a:lstStyle/>
          <a:p>
            <a:pPr>
              <a:defRPr sz="1000"/>
            </a:pPr>
            <a:endParaRPr lang="de-DE"/>
          </a:p>
        </c:txPr>
        <c:crossAx val="42814848"/>
        <c:crosses val="autoZero"/>
        <c:auto val="1"/>
        <c:lblAlgn val="ctr"/>
        <c:lblOffset val="100"/>
        <c:noMultiLvlLbl val="0"/>
      </c:catAx>
      <c:valAx>
        <c:axId val="42814848"/>
        <c:scaling>
          <c:orientation val="minMax"/>
        </c:scaling>
        <c:delete val="0"/>
        <c:axPos val="l"/>
        <c:majorGridlines>
          <c:spPr>
            <a:ln>
              <a:noFill/>
            </a:ln>
          </c:spPr>
        </c:majorGridlines>
        <c:numFmt formatCode="0" sourceLinked="1"/>
        <c:majorTickMark val="out"/>
        <c:minorTickMark val="none"/>
        <c:tickLblPos val="nextTo"/>
        <c:spPr>
          <a:ln w="6350">
            <a:solidFill>
              <a:srgbClr val="B3B3B3"/>
            </a:solidFill>
          </a:ln>
        </c:spPr>
        <c:txPr>
          <a:bodyPr/>
          <a:lstStyle/>
          <a:p>
            <a:pPr>
              <a:defRPr sz="1000"/>
            </a:pPr>
            <a:endParaRPr lang="de-DE"/>
          </a:p>
        </c:txPr>
        <c:crossAx val="42812544"/>
        <c:crosses val="autoZero"/>
        <c:crossBetween val="between"/>
      </c:valAx>
    </c:plotArea>
    <c:legend>
      <c:legendPos val="r"/>
      <c:layout>
        <c:manualLayout>
          <c:xMode val="edge"/>
          <c:yMode val="edge"/>
          <c:x val="0.68134532119930191"/>
          <c:y val="2.2455537343918662E-2"/>
          <c:w val="0.29008089290099931"/>
          <c:h val="9.6889344425251045E-2"/>
        </c:manualLayout>
      </c:layout>
      <c:overlay val="0"/>
    </c:legend>
    <c:plotVisOnly val="0"/>
    <c:dispBlanksAs val="span"/>
    <c:showDLblsOverMax val="0"/>
  </c:chart>
  <c:spPr>
    <a:noFill/>
    <a:ln>
      <a:noFill/>
    </a:ln>
  </c:spPr>
  <c:txPr>
    <a:bodyPr/>
    <a:lstStyle/>
    <a:p>
      <a:pPr>
        <a:defRPr>
          <a:latin typeface="Trebuchet MS" panose="020B0603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[0]!Kartentitel_Veränderung</c:f>
          <c:strCache>
            <c:ptCount val="1"/>
            <c:pt idx="0">
              <c:v>Veränderung in % zum Vorjahr</c:v>
            </c:pt>
          </c:strCache>
        </c:strRef>
      </c:tx>
      <c:layout>
        <c:manualLayout>
          <c:xMode val="edge"/>
          <c:yMode val="edge"/>
          <c:x val="9.7613560777810096E-2"/>
          <c:y val="2.7777910491643621E-2"/>
        </c:manualLayout>
      </c:layout>
      <c:overlay val="0"/>
      <c:txPr>
        <a:bodyPr/>
        <a:lstStyle/>
        <a:p>
          <a:pPr>
            <a:defRPr sz="1200"/>
          </a:pPr>
          <a:endParaRPr lang="de-DE"/>
        </a:p>
      </c:txPr>
    </c:title>
    <c:autoTitleDeleted val="0"/>
    <c:plotArea>
      <c:layout>
        <c:manualLayout>
          <c:layoutTarget val="inner"/>
          <c:xMode val="edge"/>
          <c:yMode val="edge"/>
          <c:x val="9.7458661417322831E-2"/>
          <c:y val="0.13462729058181228"/>
          <c:w val="0.89871325459317586"/>
          <c:h val="0.67613127333281753"/>
        </c:manualLayout>
      </c:layout>
      <c:barChart>
        <c:barDir val="col"/>
        <c:grouping val="clustered"/>
        <c:varyColors val="0"/>
        <c:ser>
          <c:idx val="0"/>
          <c:order val="0"/>
          <c:tx>
            <c:strRef>
              <c:f>Dashboard!$N$5</c:f>
              <c:strCache>
                <c:ptCount val="1"/>
                <c:pt idx="0">
                  <c:v>Export</c:v>
                </c:pt>
              </c:strCache>
            </c:strRef>
          </c:tx>
          <c:spPr>
            <a:solidFill>
              <a:srgbClr val="E20613"/>
            </a:solidFill>
            <a:ln>
              <a:noFill/>
            </a:ln>
          </c:spPr>
          <c:invertIfNegative val="0"/>
          <c:cat>
            <c:numRef>
              <c:f>[0]!Diagramm_Veraend_Jahreszahlen</c:f>
              <c:numCache>
                <c:formatCode>General</c:formatCode>
                <c:ptCount val="45"/>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pt idx="44">
                  <c:v>2023</c:v>
                </c:pt>
              </c:numCache>
            </c:numRef>
          </c:cat>
          <c:val>
            <c:numRef>
              <c:f>[0]!Diagramm_Veraend_Exporte</c:f>
              <c:numCache>
                <c:formatCode>0.0</c:formatCode>
                <c:ptCount val="45"/>
                <c:pt idx="0">
                  <c:v>21.897258051050727</c:v>
                </c:pt>
                <c:pt idx="1">
                  <c:v>11.643165152029994</c:v>
                </c:pt>
                <c:pt idx="2">
                  <c:v>5.0972075021811349</c:v>
                </c:pt>
                <c:pt idx="3">
                  <c:v>6.7552385235212711</c:v>
                </c:pt>
                <c:pt idx="4">
                  <c:v>9.0448419984075059</c:v>
                </c:pt>
                <c:pt idx="5">
                  <c:v>9.1386177803323392</c:v>
                </c:pt>
                <c:pt idx="6">
                  <c:v>14.463388007203179</c:v>
                </c:pt>
                <c:pt idx="7">
                  <c:v>5.1809496030737137</c:v>
                </c:pt>
                <c:pt idx="8">
                  <c:v>6.3566439358383207</c:v>
                </c:pt>
                <c:pt idx="9">
                  <c:v>12.546566165661446</c:v>
                </c:pt>
                <c:pt idx="10">
                  <c:v>10.382836703234204</c:v>
                </c:pt>
                <c:pt idx="11">
                  <c:v>15.430217074286716</c:v>
                </c:pt>
                <c:pt idx="12">
                  <c:v>9.3320944733451938</c:v>
                </c:pt>
                <c:pt idx="13">
                  <c:v>3.8170199855640163</c:v>
                </c:pt>
                <c:pt idx="14">
                  <c:v>-6.121964826717516</c:v>
                </c:pt>
                <c:pt idx="15">
                  <c:v>7.1643617518867444</c:v>
                </c:pt>
                <c:pt idx="16">
                  <c:v>13.909506787054553</c:v>
                </c:pt>
                <c:pt idx="17">
                  <c:v>2.9521495930554096</c:v>
                </c:pt>
                <c:pt idx="18">
                  <c:v>9.5234783313207174</c:v>
                </c:pt>
                <c:pt idx="19">
                  <c:v>11.040741454311544</c:v>
                </c:pt>
                <c:pt idx="20">
                  <c:v>4.0099298685643703</c:v>
                </c:pt>
                <c:pt idx="21">
                  <c:v>10.397609013396746</c:v>
                </c:pt>
                <c:pt idx="22">
                  <c:v>3.9408733492979593</c:v>
                </c:pt>
                <c:pt idx="23">
                  <c:v>2.5653552025043496</c:v>
                </c:pt>
                <c:pt idx="24">
                  <c:v>1.2538018283848515</c:v>
                </c:pt>
                <c:pt idx="25">
                  <c:v>15.387373269646247</c:v>
                </c:pt>
                <c:pt idx="26">
                  <c:v>3.9961884965113086</c:v>
                </c:pt>
                <c:pt idx="27">
                  <c:v>4.5402405718908483</c:v>
                </c:pt>
                <c:pt idx="28">
                  <c:v>9.4400543190336066</c:v>
                </c:pt>
                <c:pt idx="29">
                  <c:v>1.6351838958060938</c:v>
                </c:pt>
                <c:pt idx="30">
                  <c:v>-16.65439186595647</c:v>
                </c:pt>
                <c:pt idx="31">
                  <c:v>18.336657309224563</c:v>
                </c:pt>
                <c:pt idx="32">
                  <c:v>10.171773570148403</c:v>
                </c:pt>
                <c:pt idx="33">
                  <c:v>-0.52257881972649045</c:v>
                </c:pt>
                <c:pt idx="34">
                  <c:v>8.0472138499345647E-2</c:v>
                </c:pt>
                <c:pt idx="35">
                  <c:v>0.55076296730237573</c:v>
                </c:pt>
                <c:pt idx="36">
                  <c:v>3.662618458837045</c:v>
                </c:pt>
                <c:pt idx="37">
                  <c:v>1.463841704543313</c:v>
                </c:pt>
                <c:pt idx="38">
                  <c:v>7.0142920807424076</c:v>
                </c:pt>
                <c:pt idx="39">
                  <c:v>5.5313101750627851</c:v>
                </c:pt>
                <c:pt idx="40">
                  <c:v>-0.44722148680040164</c:v>
                </c:pt>
                <c:pt idx="41">
                  <c:v>-3.5582730795122473</c:v>
                </c:pt>
                <c:pt idx="42">
                  <c:v>14.954438802061645</c:v>
                </c:pt>
                <c:pt idx="43">
                  <c:v>16.198382249005562</c:v>
                </c:pt>
                <c:pt idx="44">
                  <c:v>0.84749300987435561</c:v>
                </c:pt>
              </c:numCache>
            </c:numRef>
          </c:val>
          <c:extLst>
            <c:ext xmlns:c16="http://schemas.microsoft.com/office/drawing/2014/chart" uri="{C3380CC4-5D6E-409C-BE32-E72D297353CC}">
              <c16:uniqueId val="{00000000-D88D-454D-B03D-545D7CF73706}"/>
            </c:ext>
          </c:extLst>
        </c:ser>
        <c:ser>
          <c:idx val="1"/>
          <c:order val="1"/>
          <c:tx>
            <c:strRef>
              <c:f>Dashboard!$K$2</c:f>
              <c:strCache>
                <c:ptCount val="1"/>
                <c:pt idx="0">
                  <c:v>Import</c:v>
                </c:pt>
              </c:strCache>
            </c:strRef>
          </c:tx>
          <c:spPr>
            <a:solidFill>
              <a:srgbClr val="666666"/>
            </a:solidFill>
            <a:ln>
              <a:noFill/>
            </a:ln>
          </c:spPr>
          <c:invertIfNegative val="0"/>
          <c:cat>
            <c:numRef>
              <c:f>[0]!Diagramm_Veraend_Jahreszahlen</c:f>
              <c:numCache>
                <c:formatCode>General</c:formatCode>
                <c:ptCount val="45"/>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pt idx="44">
                  <c:v>2023</c:v>
                </c:pt>
              </c:numCache>
            </c:numRef>
          </c:cat>
          <c:val>
            <c:numRef>
              <c:f>[0]!Diagramm_Veraend_Importe</c:f>
              <c:numCache>
                <c:formatCode>0.0</c:formatCode>
                <c:ptCount val="45"/>
                <c:pt idx="0">
                  <c:v>13.689663653524022</c:v>
                </c:pt>
                <c:pt idx="1">
                  <c:v>12.834726772227455</c:v>
                </c:pt>
                <c:pt idx="2">
                  <c:v>0.85221022210308206</c:v>
                </c:pt>
                <c:pt idx="3">
                  <c:v>3.8047103084213916</c:v>
                </c:pt>
                <c:pt idx="4">
                  <c:v>7.1520047004709113</c:v>
                </c:pt>
                <c:pt idx="5">
                  <c:v>8.258363039920539</c:v>
                </c:pt>
                <c:pt idx="6">
                  <c:v>12.680500892944735</c:v>
                </c:pt>
                <c:pt idx="7">
                  <c:v>1.744732047583625</c:v>
                </c:pt>
                <c:pt idx="8">
                  <c:v>1.386934093870849</c:v>
                </c:pt>
                <c:pt idx="9">
                  <c:v>10.437886186436728</c:v>
                </c:pt>
                <c:pt idx="10">
                  <c:v>11.733108595324907</c:v>
                </c:pt>
                <c:pt idx="11">
                  <c:v>8.2612890665770777</c:v>
                </c:pt>
                <c:pt idx="12">
                  <c:v>4.7625498572724467</c:v>
                </c:pt>
                <c:pt idx="13">
                  <c:v>-3.7285807222389167E-3</c:v>
                </c:pt>
                <c:pt idx="14">
                  <c:v>-8.0279228150688482</c:v>
                </c:pt>
                <c:pt idx="15">
                  <c:v>7.4978188181599137</c:v>
                </c:pt>
                <c:pt idx="16">
                  <c:v>15.670313191254905</c:v>
                </c:pt>
                <c:pt idx="17">
                  <c:v>4.9303413455709233</c:v>
                </c:pt>
                <c:pt idx="18">
                  <c:v>7.7769295959818692</c:v>
                </c:pt>
                <c:pt idx="19">
                  <c:v>6.8500972271990292</c:v>
                </c:pt>
                <c:pt idx="20">
                  <c:v>7.0684701482153827</c:v>
                </c:pt>
                <c:pt idx="21">
                  <c:v>11.520147779500391</c:v>
                </c:pt>
                <c:pt idx="22">
                  <c:v>4.4773635700673111</c:v>
                </c:pt>
                <c:pt idx="23">
                  <c:v>-2.5566115177038711</c:v>
                </c:pt>
                <c:pt idx="24">
                  <c:v>6.7698381662224563</c:v>
                </c:pt>
                <c:pt idx="25">
                  <c:v>17.897958582668153</c:v>
                </c:pt>
                <c:pt idx="26">
                  <c:v>4.095211949196468</c:v>
                </c:pt>
                <c:pt idx="27">
                  <c:v>6.2141254456375492</c:v>
                </c:pt>
                <c:pt idx="28">
                  <c:v>9.7866235295717843</c:v>
                </c:pt>
                <c:pt idx="29">
                  <c:v>2.0886358727044296</c:v>
                </c:pt>
                <c:pt idx="30">
                  <c:v>-17.865197400551807</c:v>
                </c:pt>
                <c:pt idx="31">
                  <c:v>12.614649846728724</c:v>
                </c:pt>
                <c:pt idx="32">
                  <c:v>11.591956453444993</c:v>
                </c:pt>
                <c:pt idx="33">
                  <c:v>-0.9256707304811016</c:v>
                </c:pt>
                <c:pt idx="34">
                  <c:v>-1.1431549255615749</c:v>
                </c:pt>
                <c:pt idx="35">
                  <c:v>-0.97306072752556361</c:v>
                </c:pt>
                <c:pt idx="36">
                  <c:v>1.4428151346632205</c:v>
                </c:pt>
                <c:pt idx="37">
                  <c:v>2.3763592617217597</c:v>
                </c:pt>
                <c:pt idx="38">
                  <c:v>7.9053014197274649</c:v>
                </c:pt>
                <c:pt idx="39">
                  <c:v>2.6673180829920256</c:v>
                </c:pt>
                <c:pt idx="40">
                  <c:v>-1.1180743825070181</c:v>
                </c:pt>
                <c:pt idx="41">
                  <c:v>-8.5307086497673339</c:v>
                </c:pt>
                <c:pt idx="42">
                  <c:v>17.095260240581268</c:v>
                </c:pt>
                <c:pt idx="43">
                  <c:v>16.689042019376629</c:v>
                </c:pt>
                <c:pt idx="44">
                  <c:v>-7.4958592872397389</c:v>
                </c:pt>
              </c:numCache>
            </c:numRef>
          </c:val>
          <c:extLst>
            <c:ext xmlns:c16="http://schemas.microsoft.com/office/drawing/2014/chart" uri="{C3380CC4-5D6E-409C-BE32-E72D297353CC}">
              <c16:uniqueId val="{00000001-D88D-454D-B03D-545D7CF73706}"/>
            </c:ext>
          </c:extLst>
        </c:ser>
        <c:dLbls>
          <c:showLegendKey val="0"/>
          <c:showVal val="0"/>
          <c:showCatName val="0"/>
          <c:showSerName val="0"/>
          <c:showPercent val="0"/>
          <c:showBubbleSize val="0"/>
        </c:dLbls>
        <c:gapWidth val="150"/>
        <c:axId val="43155840"/>
        <c:axId val="43157760"/>
      </c:barChart>
      <c:catAx>
        <c:axId val="43155840"/>
        <c:scaling>
          <c:orientation val="minMax"/>
        </c:scaling>
        <c:delete val="0"/>
        <c:axPos val="b"/>
        <c:numFmt formatCode="General" sourceLinked="1"/>
        <c:majorTickMark val="out"/>
        <c:minorTickMark val="none"/>
        <c:tickLblPos val="low"/>
        <c:spPr>
          <a:ln w="6350">
            <a:solidFill>
              <a:srgbClr val="B3B3B3"/>
            </a:solidFill>
          </a:ln>
        </c:spPr>
        <c:txPr>
          <a:bodyPr rot="-5400000" vert="horz"/>
          <a:lstStyle/>
          <a:p>
            <a:pPr>
              <a:defRPr sz="1000"/>
            </a:pPr>
            <a:endParaRPr lang="de-DE"/>
          </a:p>
        </c:txPr>
        <c:crossAx val="43157760"/>
        <c:crosses val="autoZero"/>
        <c:auto val="1"/>
        <c:lblAlgn val="ctr"/>
        <c:lblOffset val="100"/>
        <c:noMultiLvlLbl val="0"/>
      </c:catAx>
      <c:valAx>
        <c:axId val="43157760"/>
        <c:scaling>
          <c:orientation val="minMax"/>
        </c:scaling>
        <c:delete val="0"/>
        <c:axPos val="l"/>
        <c:majorGridlines>
          <c:spPr>
            <a:ln>
              <a:noFill/>
            </a:ln>
          </c:spPr>
        </c:majorGridlines>
        <c:numFmt formatCode="0" sourceLinked="0"/>
        <c:majorTickMark val="out"/>
        <c:minorTickMark val="none"/>
        <c:tickLblPos val="nextTo"/>
        <c:spPr>
          <a:ln w="6350">
            <a:solidFill>
              <a:srgbClr val="B3B3B3"/>
            </a:solidFill>
          </a:ln>
        </c:spPr>
        <c:txPr>
          <a:bodyPr/>
          <a:lstStyle/>
          <a:p>
            <a:pPr>
              <a:defRPr sz="1000"/>
            </a:pPr>
            <a:endParaRPr lang="de-DE"/>
          </a:p>
        </c:txPr>
        <c:crossAx val="43155840"/>
        <c:crosses val="autoZero"/>
        <c:crossBetween val="between"/>
      </c:valAx>
    </c:plotArea>
    <c:legend>
      <c:legendPos val="l"/>
      <c:layout>
        <c:manualLayout>
          <c:xMode val="edge"/>
          <c:yMode val="edge"/>
          <c:x val="0.73149501571309594"/>
          <c:y val="1.44628304192431E-2"/>
          <c:w val="0.24213762364230759"/>
          <c:h val="0.11196133738825237"/>
        </c:manualLayout>
      </c:layout>
      <c:overlay val="1"/>
    </c:legend>
    <c:plotVisOnly val="1"/>
    <c:dispBlanksAs val="gap"/>
    <c:showDLblsOverMax val="0"/>
  </c:chart>
  <c:spPr>
    <a:noFill/>
    <a:ln>
      <a:noFill/>
    </a:ln>
  </c:spPr>
  <c:txPr>
    <a:bodyPr/>
    <a:lstStyle/>
    <a:p>
      <a:pPr>
        <a:defRPr>
          <a:latin typeface="Trebuchet MS" panose="020B0603020202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[0]!Kartentitel_Exportentwicklung</c:f>
          <c:strCache>
            <c:ptCount val="1"/>
            <c:pt idx="0">
              <c:v>Exportentwicklung - Index</c:v>
            </c:pt>
          </c:strCache>
        </c:strRef>
      </c:tx>
      <c:layout>
        <c:manualLayout>
          <c:xMode val="edge"/>
          <c:yMode val="edge"/>
          <c:x val="9.7807910997426681E-2"/>
          <c:y val="5.8428977756110043E-2"/>
        </c:manualLayout>
      </c:layout>
      <c:overlay val="0"/>
      <c:txPr>
        <a:bodyPr/>
        <a:lstStyle/>
        <a:p>
          <a:pPr>
            <a:defRPr sz="1200"/>
          </a:pPr>
          <a:endParaRPr lang="de-DE"/>
        </a:p>
      </c:txPr>
    </c:title>
    <c:autoTitleDeleted val="0"/>
    <c:plotArea>
      <c:layout>
        <c:manualLayout>
          <c:layoutTarget val="inner"/>
          <c:xMode val="edge"/>
          <c:yMode val="edge"/>
          <c:x val="9.7458661417322831E-2"/>
          <c:y val="0.18734893088621984"/>
          <c:w val="0.90042671768832638"/>
          <c:h val="0.64506466331272616"/>
        </c:manualLayout>
      </c:layout>
      <c:lineChart>
        <c:grouping val="standard"/>
        <c:varyColors val="0"/>
        <c:ser>
          <c:idx val="0"/>
          <c:order val="0"/>
          <c:tx>
            <c:strRef>
              <c:f>Absolut_Grafik_1_2!$A$8</c:f>
              <c:strCache>
                <c:ptCount val="1"/>
                <c:pt idx="0">
                  <c:v>Deutschland</c:v>
                </c:pt>
              </c:strCache>
            </c:strRef>
          </c:tx>
          <c:spPr>
            <a:ln>
              <a:solidFill>
                <a:srgbClr val="E20613"/>
              </a:solidFill>
            </a:ln>
          </c:spPr>
          <c:marker>
            <c:symbol val="none"/>
          </c:marker>
          <c:cat>
            <c:numRef>
              <c:f>[0]!Diagramm_Index_Jahreszahlen_Export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[0]!Diagramm_Index_Exporte_AHP</c:f>
              <c:numCache>
                <c:formatCode>General</c:formatCode>
                <c:ptCount val="46"/>
                <c:pt idx="0">
                  <c:v>6.3674106696286108</c:v>
                </c:pt>
                <c:pt idx="1">
                  <c:v>7.7616990151273244</c:v>
                </c:pt>
                <c:pt idx="2">
                  <c:v>8.6654064500620862</c:v>
                </c:pt>
                <c:pt idx="3">
                  <c:v>9.107100197729137</c:v>
                </c:pt>
                <c:pt idx="4">
                  <c:v>9.7223065386618188</c:v>
                </c:pt>
                <c:pt idx="5">
                  <c:v>10.601673803684623</c:v>
                </c:pt>
                <c:pt idx="6">
                  <c:v>11.57052025092098</c:v>
                </c:pt>
                <c:pt idx="7">
                  <c:v>13.2440094892637</c:v>
                </c:pt>
                <c:pt idx="8">
                  <c:v>13.930174946328751</c:v>
                </c:pt>
                <c:pt idx="9">
                  <c:v>14.815666567306229</c:v>
                </c:pt>
                <c:pt idx="10">
                  <c:v>16.674523976057088</c:v>
                </c:pt>
                <c:pt idx="11">
                  <c:v>18.405812571532731</c:v>
                </c:pt>
                <c:pt idx="12">
                  <c:v>21.245869405606584</c:v>
                </c:pt>
                <c:pt idx="13">
                  <c:v>23.228554010221334</c:v>
                </c:pt>
                <c:pt idx="14">
                  <c:v>24.115192559149015</c:v>
                </c:pt>
                <c:pt idx="15">
                  <c:v>22.638868952782712</c:v>
                </c:pt>
                <c:pt idx="16">
                  <c:v>24.260799421095641</c:v>
                </c:pt>
                <c:pt idx="17">
                  <c:v>27.635356963166629</c:v>
                </c:pt>
                <c:pt idx="18">
                  <c:v>28.451194041294158</c:v>
                </c:pt>
                <c:pt idx="19">
                  <c:v>31.160737340818823</c:v>
                </c:pt>
                <c:pt idx="20">
                  <c:v>34.601113785875739</c:v>
                </c:pt>
                <c:pt idx="21">
                  <c:v>35.98859418243152</c:v>
                </c:pt>
                <c:pt idx="22">
                  <c:v>39.730547494938797</c:v>
                </c:pt>
                <c:pt idx="23">
                  <c:v>41.296278052697012</c:v>
                </c:pt>
                <c:pt idx="24">
                  <c:v>42.355674270162538</c:v>
                </c:pt>
                <c:pt idx="25">
                  <c:v>42.886730488586558</c:v>
                </c:pt>
                <c:pt idx="26">
                  <c:v>49.48587179201256</c:v>
                </c:pt>
                <c:pt idx="27">
                  <c:v>51.463420507963299</c:v>
                </c:pt>
                <c:pt idx="28">
                  <c:v>53.799983605548654</c:v>
                </c:pt>
                <c:pt idx="29">
                  <c:v>58.878731281543629</c:v>
                </c:pt>
                <c:pt idx="30">
                  <c:v>59.841506813514378</c:v>
                </c:pt>
                <c:pt idx="31">
                  <c:v>49.875267770298656</c:v>
                </c:pt>
                <c:pt idx="32">
                  <c:v>59.020724703396446</c:v>
                </c:pt>
                <c:pt idx="33">
                  <c:v>65.02417917968657</c:v>
                </c:pt>
                <c:pt idx="34">
                  <c:v>64.684376591592539</c:v>
                </c:pt>
                <c:pt idx="35">
                  <c:v>64.736429492710755</c:v>
                </c:pt>
                <c:pt idx="36">
                  <c:v>65.092973772710423</c:v>
                </c:pt>
                <c:pt idx="37">
                  <c:v>67.477081045515689</c:v>
                </c:pt>
                <c:pt idx="38">
                  <c:v>68.464838698868434</c:v>
                </c:pt>
                <c:pt idx="39">
                  <c:v>73.267162457816227</c:v>
                </c:pt>
                <c:pt idx="40">
                  <c:v>77.319796469825192</c:v>
                </c:pt>
                <c:pt idx="41">
                  <c:v>76.974005726461797</c:v>
                </c:pt>
                <c:pt idx="42">
                  <c:v>74.235060402474886</c:v>
                </c:pt>
                <c:pt idx="43">
                  <c:v>85.336497080036494</c:v>
                </c:pt>
                <c:pt idx="44">
                  <c:v>99.159629074972273</c:v>
                </c:pt>
                <c:pt idx="45">
                  <c:v>100</c:v>
                </c:pt>
              </c:numCache>
            </c:numRef>
          </c:val>
          <c:smooth val="0"/>
          <c:extLst>
            <c:ext xmlns:c16="http://schemas.microsoft.com/office/drawing/2014/chart" uri="{C3380CC4-5D6E-409C-BE32-E72D297353CC}">
              <c16:uniqueId val="{00000000-2138-4109-AD77-B70E107A6698}"/>
            </c:ext>
          </c:extLst>
        </c:ser>
        <c:ser>
          <c:idx val="1"/>
          <c:order val="1"/>
          <c:tx>
            <c:strRef>
              <c:f>Absolut_Grafik_1_2!$A$9</c:f>
              <c:strCache>
                <c:ptCount val="1"/>
                <c:pt idx="0">
                  <c:v>Welt ohne Deutschland</c:v>
                </c:pt>
              </c:strCache>
            </c:strRef>
          </c:tx>
          <c:spPr>
            <a:ln>
              <a:solidFill>
                <a:srgbClr val="666666"/>
              </a:solidFill>
            </a:ln>
          </c:spPr>
          <c:marker>
            <c:symbol val="none"/>
          </c:marker>
          <c:cat>
            <c:numRef>
              <c:f>[0]!Diagramm_Index_Jahreszahlen_Export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[0]!Diagramm_Index_Exporte_Welt_ohne_AHP</c:f>
              <c:numCache>
                <c:formatCode>General</c:formatCode>
                <c:ptCount val="46"/>
                <c:pt idx="0">
                  <c:v>6.3862940533133479</c:v>
                </c:pt>
                <c:pt idx="1">
                  <c:v>7.3555584048857465</c:v>
                </c:pt>
                <c:pt idx="2">
                  <c:v>8.0023081749958127</c:v>
                </c:pt>
                <c:pt idx="3">
                  <c:v>9.1301514007540305</c:v>
                </c:pt>
                <c:pt idx="4">
                  <c:v>9.6488863066401098</c:v>
                </c:pt>
                <c:pt idx="5">
                  <c:v>9.8125953218079118</c:v>
                </c:pt>
                <c:pt idx="6">
                  <c:v>11.325243474018864</c:v>
                </c:pt>
                <c:pt idx="7">
                  <c:v>12.654747634809963</c:v>
                </c:pt>
                <c:pt idx="8">
                  <c:v>11.784592791562229</c:v>
                </c:pt>
                <c:pt idx="9">
                  <c:v>11.417559259209709</c:v>
                </c:pt>
                <c:pt idx="10">
                  <c:v>12.738306205279398</c:v>
                </c:pt>
                <c:pt idx="11">
                  <c:v>14.383674138989289</c:v>
                </c:pt>
                <c:pt idx="12">
                  <c:v>15.094515118729785</c:v>
                </c:pt>
                <c:pt idx="13">
                  <c:v>14.941084689857709</c:v>
                </c:pt>
                <c:pt idx="14">
                  <c:v>15.012172378296833</c:v>
                </c:pt>
                <c:pt idx="15">
                  <c:v>14.577262159703464</c:v>
                </c:pt>
                <c:pt idx="16">
                  <c:v>16.229161923800461</c:v>
                </c:pt>
                <c:pt idx="17">
                  <c:v>18.292687535605872</c:v>
                </c:pt>
                <c:pt idx="18">
                  <c:v>19.602845904481363</c:v>
                </c:pt>
                <c:pt idx="19">
                  <c:v>23.747716494325864</c:v>
                </c:pt>
                <c:pt idx="20">
                  <c:v>25.386227408522704</c:v>
                </c:pt>
                <c:pt idx="21">
                  <c:v>27.605090924604507</c:v>
                </c:pt>
                <c:pt idx="22">
                  <c:v>32.70019471571257</c:v>
                </c:pt>
                <c:pt idx="23">
                  <c:v>35.265014611250976</c:v>
                </c:pt>
                <c:pt idx="24">
                  <c:v>37.045569817966211</c:v>
                </c:pt>
                <c:pt idx="25">
                  <c:v>37.884400908842046</c:v>
                </c:pt>
                <c:pt idx="26">
                  <c:v>42.871872748967199</c:v>
                </c:pt>
                <c:pt idx="27">
                  <c:v>45.477274672264457</c:v>
                </c:pt>
                <c:pt idx="28">
                  <c:v>50.876591698089435</c:v>
                </c:pt>
                <c:pt idx="29">
                  <c:v>56.485657253340079</c:v>
                </c:pt>
                <c:pt idx="30">
                  <c:v>58.092039062584298</c:v>
                </c:pt>
                <c:pt idx="31">
                  <c:v>45.451174793837417</c:v>
                </c:pt>
                <c:pt idx="32">
                  <c:v>52.690538401789709</c:v>
                </c:pt>
                <c:pt idx="33">
                  <c:v>58.9482422653155</c:v>
                </c:pt>
                <c:pt idx="34">
                  <c:v>60.334251087225532</c:v>
                </c:pt>
                <c:pt idx="35">
                  <c:v>61.90955520641365</c:v>
                </c:pt>
                <c:pt idx="36">
                  <c:v>63.378019320684587</c:v>
                </c:pt>
                <c:pt idx="37">
                  <c:v>64.812481357559946</c:v>
                </c:pt>
                <c:pt idx="38">
                  <c:v>64.114765589021246</c:v>
                </c:pt>
                <c:pt idx="39">
                  <c:v>69.750341635325142</c:v>
                </c:pt>
                <c:pt idx="40">
                  <c:v>73.805687473925303</c:v>
                </c:pt>
                <c:pt idx="41">
                  <c:v>76.363337662683307</c:v>
                </c:pt>
                <c:pt idx="42">
                  <c:v>69.792925821164374</c:v>
                </c:pt>
                <c:pt idx="43">
                  <c:v>81.426440552378381</c:v>
                </c:pt>
                <c:pt idx="44">
                  <c:v>96.215329395484389</c:v>
                </c:pt>
                <c:pt idx="45">
                  <c:v>100</c:v>
                </c:pt>
              </c:numCache>
            </c:numRef>
          </c:val>
          <c:smooth val="0"/>
          <c:extLst>
            <c:ext xmlns:c16="http://schemas.microsoft.com/office/drawing/2014/chart" uri="{C3380CC4-5D6E-409C-BE32-E72D297353CC}">
              <c16:uniqueId val="{00000001-2138-4109-AD77-B70E107A6698}"/>
            </c:ext>
          </c:extLst>
        </c:ser>
        <c:ser>
          <c:idx val="2"/>
          <c:order val="2"/>
          <c:spPr>
            <a:ln>
              <a:noFill/>
            </a:ln>
          </c:spPr>
          <c:marker>
            <c:symbol val="none"/>
          </c:marker>
          <c:cat>
            <c:numRef>
              <c:f>[0]!Diagramm_Index_Jahreszahlen_Export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[0]!Diagramm_Index_Importe_AHP</c:f>
              <c:numCache>
                <c:formatCode>General</c:formatCode>
                <c:ptCount val="46"/>
                <c:pt idx="0">
                  <c:v>11.436882232858705</c:v>
                </c:pt>
                <c:pt idx="1">
                  <c:v>13.002552942986709</c:v>
                </c:pt>
                <c:pt idx="2">
                  <c:v>14.671395086633273</c:v>
                </c:pt>
                <c:pt idx="3">
                  <c:v>14.796426215286692</c:v>
                </c:pt>
                <c:pt idx="4">
                  <c:v>15.359387368777671</c:v>
                </c:pt>
                <c:pt idx="5">
                  <c:v>16.457891475356188</c:v>
                </c:pt>
                <c:pt idx="6">
                  <c:v>17.817043902107233</c:v>
                </c:pt>
                <c:pt idx="7">
                  <c:v>20.076334313210296</c:v>
                </c:pt>
                <c:pt idx="8">
                  <c:v>20.426612551952907</c:v>
                </c:pt>
                <c:pt idx="9">
                  <c:v>20.709916205658843</c:v>
                </c:pt>
                <c:pt idx="10">
                  <c:v>22.871593688511929</c:v>
                </c:pt>
                <c:pt idx="11">
                  <c:v>25.555142613466508</c:v>
                </c:pt>
                <c:pt idx="12">
                  <c:v>27.666326816140995</c:v>
                </c:pt>
                <c:pt idx="13">
                  <c:v>28.98394942443565</c:v>
                </c:pt>
                <c:pt idx="14">
                  <c:v>28.982868734484867</c:v>
                </c:pt>
                <c:pt idx="15">
                  <c:v>26.656146402887703</c:v>
                </c:pt>
                <c:pt idx="16">
                  <c:v>28.654775964079672</c:v>
                </c:pt>
                <c:pt idx="17">
                  <c:v>33.145069101903388</c:v>
                </c:pt>
                <c:pt idx="18">
                  <c:v>34.779234147852591</c:v>
                </c:pt>
                <c:pt idx="19">
                  <c:v>37.48399070155277</c:v>
                </c:pt>
                <c:pt idx="20">
                  <c:v>40.051680509243383</c:v>
                </c:pt>
                <c:pt idx="21">
                  <c:v>42.882721589897848</c:v>
                </c:pt>
                <c:pt idx="22">
                  <c:v>47.822874488925805</c:v>
                </c:pt>
                <c:pt idx="23">
                  <c:v>49.964078449451982</c:v>
                </c:pt>
                <c:pt idx="24">
                  <c:v>48.686691065098692</c:v>
                </c:pt>
                <c:pt idx="25">
                  <c:v>51.982701258694554</c:v>
                </c:pt>
                <c:pt idx="26">
                  <c:v>61.286543600127821</c:v>
                </c:pt>
                <c:pt idx="27">
                  <c:v>63.796357456889766</c:v>
                </c:pt>
                <c:pt idx="28">
                  <c:v>67.760743139008241</c:v>
                </c:pt>
                <c:pt idx="29">
                  <c:v>74.392231970863122</c:v>
                </c:pt>
                <c:pt idx="30">
                  <c:v>75.946014814312065</c:v>
                </c:pt>
                <c:pt idx="31">
                  <c:v>62.378109349882891</c:v>
                </c:pt>
                <c:pt idx="32">
                  <c:v>70.246889425380175</c:v>
                </c:pt>
                <c:pt idx="33">
                  <c:v>78.389878257469903</c:v>
                </c:pt>
                <c:pt idx="34">
                  <c:v>77.664246098780737</c:v>
                </c:pt>
                <c:pt idx="35">
                  <c:v>76.776423444102278</c:v>
                </c:pt>
                <c:pt idx="36">
                  <c:v>76.029342219568974</c:v>
                </c:pt>
                <c:pt idx="37">
                  <c:v>77.126305075897818</c:v>
                </c:pt>
                <c:pt idx="38">
                  <c:v>78.959103169792698</c:v>
                </c:pt>
                <c:pt idx="39">
                  <c:v>85.201058273678399</c:v>
                </c:pt>
                <c:pt idx="40">
                  <c:v>87.473641507912774</c:v>
                </c:pt>
                <c:pt idx="41">
                  <c:v>86.495621130766793</c:v>
                </c:pt>
                <c:pt idx="42">
                  <c:v>79.11693169729449</c:v>
                </c:pt>
                <c:pt idx="43">
                  <c:v>92.642177065309909</c:v>
                </c:pt>
                <c:pt idx="44">
                  <c:v>108.10326892340478</c:v>
                </c:pt>
                <c:pt idx="45">
                  <c:v>100</c:v>
                </c:pt>
              </c:numCache>
            </c:numRef>
          </c:val>
          <c:smooth val="0"/>
          <c:extLst>
            <c:ext xmlns:c16="http://schemas.microsoft.com/office/drawing/2014/chart" uri="{C3380CC4-5D6E-409C-BE32-E72D297353CC}">
              <c16:uniqueId val="{00000002-2138-4109-AD77-B70E107A6698}"/>
            </c:ext>
          </c:extLst>
        </c:ser>
        <c:ser>
          <c:idx val="3"/>
          <c:order val="3"/>
          <c:spPr>
            <a:ln>
              <a:noFill/>
            </a:ln>
          </c:spPr>
          <c:marker>
            <c:symbol val="none"/>
          </c:marker>
          <c:cat>
            <c:numRef>
              <c:f>[0]!Diagramm_Index_Jahreszahlen_Export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[0]!Diagramm_Index_Importe_Welt_ohne_AHP</c:f>
              <c:numCache>
                <c:formatCode>General</c:formatCode>
                <c:ptCount val="46"/>
                <c:pt idx="0">
                  <c:v>6.9307261094683037</c:v>
                </c:pt>
                <c:pt idx="1">
                  <c:v>8.2080370226539419</c:v>
                </c:pt>
                <c:pt idx="2">
                  <c:v>9.860030051762779</c:v>
                </c:pt>
                <c:pt idx="3">
                  <c:v>10.786501180972923</c:v>
                </c:pt>
                <c:pt idx="4">
                  <c:v>10.422292360201842</c:v>
                </c:pt>
                <c:pt idx="5">
                  <c:v>10.745992730954873</c:v>
                </c:pt>
                <c:pt idx="6">
                  <c:v>12.423919702892738</c:v>
                </c:pt>
                <c:pt idx="7">
                  <c:v>13.427390707077175</c:v>
                </c:pt>
                <c:pt idx="8">
                  <c:v>12.051207271886929</c:v>
                </c:pt>
                <c:pt idx="9">
                  <c:v>12.125867329553314</c:v>
                </c:pt>
                <c:pt idx="10">
                  <c:v>13.211893823318757</c:v>
                </c:pt>
                <c:pt idx="11">
                  <c:v>15.304070063726293</c:v>
                </c:pt>
                <c:pt idx="12">
                  <c:v>16.517113656171492</c:v>
                </c:pt>
                <c:pt idx="13">
                  <c:v>17.787563330886609</c:v>
                </c:pt>
                <c:pt idx="14">
                  <c:v>17.894880677393331</c:v>
                </c:pt>
                <c:pt idx="15">
                  <c:v>17.442762510874857</c:v>
                </c:pt>
                <c:pt idx="16">
                  <c:v>19.890474862118769</c:v>
                </c:pt>
                <c:pt idx="17">
                  <c:v>19.874815245783708</c:v>
                </c:pt>
                <c:pt idx="18">
                  <c:v>21.476662301723668</c:v>
                </c:pt>
                <c:pt idx="19">
                  <c:v>24.310401080631006</c:v>
                </c:pt>
                <c:pt idx="20">
                  <c:v>25.856715514231638</c:v>
                </c:pt>
                <c:pt idx="21">
                  <c:v>27.531824473053788</c:v>
                </c:pt>
                <c:pt idx="22">
                  <c:v>32.224146185765974</c:v>
                </c:pt>
                <c:pt idx="23">
                  <c:v>33.957746074008405</c:v>
                </c:pt>
                <c:pt idx="24">
                  <c:v>33.398197498601398</c:v>
                </c:pt>
                <c:pt idx="25">
                  <c:v>34.693293987289259</c:v>
                </c:pt>
                <c:pt idx="26">
                  <c:v>37.712903657577314</c:v>
                </c:pt>
                <c:pt idx="27">
                  <c:v>40.472266792901635</c:v>
                </c:pt>
                <c:pt idx="28">
                  <c:v>44.224746226950451</c:v>
                </c:pt>
                <c:pt idx="29">
                  <c:v>48.448756385985739</c:v>
                </c:pt>
                <c:pt idx="30">
                  <c:v>51.584748234598464</c:v>
                </c:pt>
                <c:pt idx="31">
                  <c:v>41.909702482312142</c:v>
                </c:pt>
                <c:pt idx="32">
                  <c:v>49.932179196028763</c:v>
                </c:pt>
                <c:pt idx="33">
                  <c:v>58.754600124744286</c:v>
                </c:pt>
                <c:pt idx="34">
                  <c:v>59.798074505721424</c:v>
                </c:pt>
                <c:pt idx="35">
                  <c:v>59.283878578712113</c:v>
                </c:pt>
                <c:pt idx="36">
                  <c:v>59.006329810345683</c:v>
                </c:pt>
                <c:pt idx="37">
                  <c:v>61.170268063972074</c:v>
                </c:pt>
                <c:pt idx="38">
                  <c:v>61.872521208670662</c:v>
                </c:pt>
                <c:pt idx="39">
                  <c:v>67.598491495765074</c:v>
                </c:pt>
                <c:pt idx="40">
                  <c:v>72.724373993626784</c:v>
                </c:pt>
                <c:pt idx="41">
                  <c:v>74.455692348075104</c:v>
                </c:pt>
                <c:pt idx="42">
                  <c:v>68.152665187857167</c:v>
                </c:pt>
                <c:pt idx="43">
                  <c:v>86.579061109812443</c:v>
                </c:pt>
                <c:pt idx="44">
                  <c:v>106.14163248153368</c:v>
                </c:pt>
                <c:pt idx="45">
                  <c:v>100</c:v>
                </c:pt>
              </c:numCache>
            </c:numRef>
          </c:val>
          <c:smooth val="0"/>
          <c:extLst>
            <c:ext xmlns:c16="http://schemas.microsoft.com/office/drawing/2014/chart" uri="{C3380CC4-5D6E-409C-BE32-E72D297353CC}">
              <c16:uniqueId val="{00000003-2138-4109-AD77-B70E107A6698}"/>
            </c:ext>
          </c:extLst>
        </c:ser>
        <c:dLbls>
          <c:showLegendKey val="0"/>
          <c:showVal val="0"/>
          <c:showCatName val="0"/>
          <c:showSerName val="0"/>
          <c:showPercent val="0"/>
          <c:showBubbleSize val="0"/>
        </c:dLbls>
        <c:smooth val="0"/>
        <c:axId val="43255296"/>
        <c:axId val="43256832"/>
      </c:lineChart>
      <c:catAx>
        <c:axId val="43255296"/>
        <c:scaling>
          <c:orientation val="minMax"/>
        </c:scaling>
        <c:delete val="0"/>
        <c:axPos val="b"/>
        <c:numFmt formatCode="General" sourceLinked="1"/>
        <c:majorTickMark val="out"/>
        <c:minorTickMark val="none"/>
        <c:tickLblPos val="nextTo"/>
        <c:spPr>
          <a:ln w="6350">
            <a:solidFill>
              <a:srgbClr val="B3B3B3"/>
            </a:solidFill>
          </a:ln>
        </c:spPr>
        <c:txPr>
          <a:bodyPr rot="-5400000" vert="horz"/>
          <a:lstStyle/>
          <a:p>
            <a:pPr>
              <a:defRPr/>
            </a:pPr>
            <a:endParaRPr lang="de-DE"/>
          </a:p>
        </c:txPr>
        <c:crossAx val="43256832"/>
        <c:crossesAt val="-200"/>
        <c:auto val="1"/>
        <c:lblAlgn val="ctr"/>
        <c:lblOffset val="100"/>
        <c:noMultiLvlLbl val="0"/>
      </c:catAx>
      <c:valAx>
        <c:axId val="43256832"/>
        <c:scaling>
          <c:orientation val="minMax"/>
        </c:scaling>
        <c:delete val="0"/>
        <c:axPos val="l"/>
        <c:majorGridlines>
          <c:spPr>
            <a:ln>
              <a:noFill/>
            </a:ln>
          </c:spPr>
        </c:majorGridlines>
        <c:numFmt formatCode="0" sourceLinked="0"/>
        <c:majorTickMark val="out"/>
        <c:minorTickMark val="none"/>
        <c:tickLblPos val="nextTo"/>
        <c:spPr>
          <a:ln w="6350">
            <a:solidFill>
              <a:srgbClr val="B3B3B3"/>
            </a:solidFill>
          </a:ln>
        </c:spPr>
        <c:txPr>
          <a:bodyPr/>
          <a:lstStyle/>
          <a:p>
            <a:pPr>
              <a:defRPr sz="1000"/>
            </a:pPr>
            <a:endParaRPr lang="de-DE"/>
          </a:p>
        </c:txPr>
        <c:crossAx val="43255296"/>
        <c:crosses val="autoZero"/>
        <c:crossBetween val="between"/>
      </c:valAx>
    </c:plotArea>
    <c:legend>
      <c:legendPos val="l"/>
      <c:legendEntry>
        <c:idx val="2"/>
        <c:delete val="1"/>
      </c:legendEntry>
      <c:legendEntry>
        <c:idx val="3"/>
        <c:delete val="1"/>
      </c:legendEntry>
      <c:layout>
        <c:manualLayout>
          <c:xMode val="edge"/>
          <c:yMode val="edge"/>
          <c:x val="0.51825816293511251"/>
          <c:y val="1.4049503002979448E-3"/>
          <c:w val="0.47778407927313105"/>
          <c:h val="0.17005846682957734"/>
        </c:manualLayout>
      </c:layout>
      <c:overlay val="1"/>
      <c:spPr>
        <a:solidFill>
          <a:srgbClr val="FFFFFF">
            <a:alpha val="90000"/>
          </a:srgbClr>
        </a:solidFill>
      </c:spPr>
    </c:legend>
    <c:plotVisOnly val="1"/>
    <c:dispBlanksAs val="gap"/>
    <c:showDLblsOverMax val="0"/>
  </c:chart>
  <c:spPr>
    <a:noFill/>
    <a:ln>
      <a:noFill/>
    </a:ln>
  </c:spPr>
  <c:txPr>
    <a:bodyPr/>
    <a:lstStyle/>
    <a:p>
      <a:pPr>
        <a:defRPr>
          <a:latin typeface="Trebuchet MS" panose="020B0603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[0]!Kartentitel_Importentwicklung</c:f>
          <c:strCache>
            <c:ptCount val="1"/>
            <c:pt idx="0">
              <c:v>Importentwicklung - Index</c:v>
            </c:pt>
          </c:strCache>
        </c:strRef>
      </c:tx>
      <c:layout>
        <c:manualLayout>
          <c:xMode val="edge"/>
          <c:yMode val="edge"/>
          <c:x val="9.9624254276122093E-2"/>
          <c:y val="5.0766161001210362E-2"/>
        </c:manualLayout>
      </c:layout>
      <c:overlay val="0"/>
      <c:txPr>
        <a:bodyPr/>
        <a:lstStyle/>
        <a:p>
          <a:pPr>
            <a:defRPr sz="1200"/>
          </a:pPr>
          <a:endParaRPr lang="de-DE"/>
        </a:p>
      </c:txPr>
    </c:title>
    <c:autoTitleDeleted val="0"/>
    <c:plotArea>
      <c:layout>
        <c:manualLayout>
          <c:layoutTarget val="inner"/>
          <c:xMode val="edge"/>
          <c:yMode val="edge"/>
          <c:x val="9.7458661417322831E-2"/>
          <c:y val="0.182929537081396"/>
          <c:w val="0.89871325459317586"/>
          <c:h val="0.65331546549499986"/>
        </c:manualLayout>
      </c:layout>
      <c:lineChart>
        <c:grouping val="standard"/>
        <c:varyColors val="0"/>
        <c:ser>
          <c:idx val="0"/>
          <c:order val="0"/>
          <c:tx>
            <c:strRef>
              <c:f>Absolut_Grafik_1_2!$A$19</c:f>
              <c:strCache>
                <c:ptCount val="1"/>
                <c:pt idx="0">
                  <c:v>Deutschland</c:v>
                </c:pt>
              </c:strCache>
            </c:strRef>
          </c:tx>
          <c:spPr>
            <a:ln>
              <a:solidFill>
                <a:srgbClr val="E20613"/>
              </a:solidFill>
            </a:ln>
          </c:spPr>
          <c:marker>
            <c:symbol val="none"/>
          </c:marker>
          <c:cat>
            <c:numRef>
              <c:f>[0]!Diagramm_Index_Jahreszahlen_Import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[0]!Diagramm_Index_Importe_AHP</c:f>
              <c:numCache>
                <c:formatCode>General</c:formatCode>
                <c:ptCount val="46"/>
                <c:pt idx="0">
                  <c:v>11.436882232858705</c:v>
                </c:pt>
                <c:pt idx="1">
                  <c:v>13.002552942986709</c:v>
                </c:pt>
                <c:pt idx="2">
                  <c:v>14.671395086633273</c:v>
                </c:pt>
                <c:pt idx="3">
                  <c:v>14.796426215286692</c:v>
                </c:pt>
                <c:pt idx="4">
                  <c:v>15.359387368777671</c:v>
                </c:pt>
                <c:pt idx="5">
                  <c:v>16.457891475356188</c:v>
                </c:pt>
                <c:pt idx="6">
                  <c:v>17.817043902107233</c:v>
                </c:pt>
                <c:pt idx="7">
                  <c:v>20.076334313210296</c:v>
                </c:pt>
                <c:pt idx="8">
                  <c:v>20.426612551952907</c:v>
                </c:pt>
                <c:pt idx="9">
                  <c:v>20.709916205658843</c:v>
                </c:pt>
                <c:pt idx="10">
                  <c:v>22.871593688511929</c:v>
                </c:pt>
                <c:pt idx="11">
                  <c:v>25.555142613466508</c:v>
                </c:pt>
                <c:pt idx="12">
                  <c:v>27.666326816140995</c:v>
                </c:pt>
                <c:pt idx="13">
                  <c:v>28.98394942443565</c:v>
                </c:pt>
                <c:pt idx="14">
                  <c:v>28.982868734484867</c:v>
                </c:pt>
                <c:pt idx="15">
                  <c:v>26.656146402887703</c:v>
                </c:pt>
                <c:pt idx="16">
                  <c:v>28.654775964079672</c:v>
                </c:pt>
                <c:pt idx="17">
                  <c:v>33.145069101903388</c:v>
                </c:pt>
                <c:pt idx="18">
                  <c:v>34.779234147852591</c:v>
                </c:pt>
                <c:pt idx="19">
                  <c:v>37.48399070155277</c:v>
                </c:pt>
                <c:pt idx="20">
                  <c:v>40.051680509243383</c:v>
                </c:pt>
                <c:pt idx="21">
                  <c:v>42.882721589897848</c:v>
                </c:pt>
                <c:pt idx="22">
                  <c:v>47.822874488925805</c:v>
                </c:pt>
                <c:pt idx="23">
                  <c:v>49.964078449451982</c:v>
                </c:pt>
                <c:pt idx="24">
                  <c:v>48.686691065098692</c:v>
                </c:pt>
                <c:pt idx="25">
                  <c:v>51.982701258694554</c:v>
                </c:pt>
                <c:pt idx="26">
                  <c:v>61.286543600127821</c:v>
                </c:pt>
                <c:pt idx="27">
                  <c:v>63.796357456889766</c:v>
                </c:pt>
                <c:pt idx="28">
                  <c:v>67.760743139008241</c:v>
                </c:pt>
                <c:pt idx="29">
                  <c:v>74.392231970863122</c:v>
                </c:pt>
                <c:pt idx="30">
                  <c:v>75.946014814312065</c:v>
                </c:pt>
                <c:pt idx="31">
                  <c:v>62.378109349882891</c:v>
                </c:pt>
                <c:pt idx="32">
                  <c:v>70.246889425380175</c:v>
                </c:pt>
                <c:pt idx="33">
                  <c:v>78.389878257469903</c:v>
                </c:pt>
                <c:pt idx="34">
                  <c:v>77.664246098780737</c:v>
                </c:pt>
                <c:pt idx="35">
                  <c:v>76.776423444102278</c:v>
                </c:pt>
                <c:pt idx="36">
                  <c:v>76.029342219568974</c:v>
                </c:pt>
                <c:pt idx="37">
                  <c:v>77.126305075897818</c:v>
                </c:pt>
                <c:pt idx="38">
                  <c:v>78.959103169792698</c:v>
                </c:pt>
                <c:pt idx="39">
                  <c:v>85.201058273678399</c:v>
                </c:pt>
                <c:pt idx="40">
                  <c:v>87.473641507912774</c:v>
                </c:pt>
                <c:pt idx="41">
                  <c:v>86.495621130766793</c:v>
                </c:pt>
                <c:pt idx="42">
                  <c:v>79.11693169729449</c:v>
                </c:pt>
                <c:pt idx="43">
                  <c:v>92.642177065309909</c:v>
                </c:pt>
                <c:pt idx="44">
                  <c:v>108.10326892340478</c:v>
                </c:pt>
                <c:pt idx="45">
                  <c:v>100</c:v>
                </c:pt>
              </c:numCache>
            </c:numRef>
          </c:val>
          <c:smooth val="0"/>
          <c:extLst>
            <c:ext xmlns:c16="http://schemas.microsoft.com/office/drawing/2014/chart" uri="{C3380CC4-5D6E-409C-BE32-E72D297353CC}">
              <c16:uniqueId val="{00000000-21A6-4852-B092-7E5DF255AB37}"/>
            </c:ext>
          </c:extLst>
        </c:ser>
        <c:ser>
          <c:idx val="1"/>
          <c:order val="1"/>
          <c:tx>
            <c:strRef>
              <c:f>Absolut_Grafik_1_2!$A$20</c:f>
              <c:strCache>
                <c:ptCount val="1"/>
                <c:pt idx="0">
                  <c:v>Welt ohne Deutschland</c:v>
                </c:pt>
              </c:strCache>
            </c:strRef>
          </c:tx>
          <c:spPr>
            <a:ln>
              <a:solidFill>
                <a:srgbClr val="666666"/>
              </a:solidFill>
            </a:ln>
          </c:spPr>
          <c:marker>
            <c:symbol val="none"/>
          </c:marker>
          <c:cat>
            <c:numRef>
              <c:f>[0]!Diagramm_Index_Jahreszahlen_Import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[0]!Diagramm_Index_Importe_Welt_ohne_AHP</c:f>
              <c:numCache>
                <c:formatCode>General</c:formatCode>
                <c:ptCount val="46"/>
                <c:pt idx="0">
                  <c:v>6.9307261094683037</c:v>
                </c:pt>
                <c:pt idx="1">
                  <c:v>8.2080370226539419</c:v>
                </c:pt>
                <c:pt idx="2">
                  <c:v>9.860030051762779</c:v>
                </c:pt>
                <c:pt idx="3">
                  <c:v>10.786501180972923</c:v>
                </c:pt>
                <c:pt idx="4">
                  <c:v>10.422292360201842</c:v>
                </c:pt>
                <c:pt idx="5">
                  <c:v>10.745992730954873</c:v>
                </c:pt>
                <c:pt idx="6">
                  <c:v>12.423919702892738</c:v>
                </c:pt>
                <c:pt idx="7">
                  <c:v>13.427390707077175</c:v>
                </c:pt>
                <c:pt idx="8">
                  <c:v>12.051207271886929</c:v>
                </c:pt>
                <c:pt idx="9">
                  <c:v>12.125867329553314</c:v>
                </c:pt>
                <c:pt idx="10">
                  <c:v>13.211893823318757</c:v>
                </c:pt>
                <c:pt idx="11">
                  <c:v>15.304070063726293</c:v>
                </c:pt>
                <c:pt idx="12">
                  <c:v>16.517113656171492</c:v>
                </c:pt>
                <c:pt idx="13">
                  <c:v>17.787563330886609</c:v>
                </c:pt>
                <c:pt idx="14">
                  <c:v>17.894880677393331</c:v>
                </c:pt>
                <c:pt idx="15">
                  <c:v>17.442762510874857</c:v>
                </c:pt>
                <c:pt idx="16">
                  <c:v>19.890474862118769</c:v>
                </c:pt>
                <c:pt idx="17">
                  <c:v>19.874815245783708</c:v>
                </c:pt>
                <c:pt idx="18">
                  <c:v>21.476662301723668</c:v>
                </c:pt>
                <c:pt idx="19">
                  <c:v>24.310401080631006</c:v>
                </c:pt>
                <c:pt idx="20">
                  <c:v>25.856715514231638</c:v>
                </c:pt>
                <c:pt idx="21">
                  <c:v>27.531824473053788</c:v>
                </c:pt>
                <c:pt idx="22">
                  <c:v>32.224146185765974</c:v>
                </c:pt>
                <c:pt idx="23">
                  <c:v>33.957746074008405</c:v>
                </c:pt>
                <c:pt idx="24">
                  <c:v>33.398197498601398</c:v>
                </c:pt>
                <c:pt idx="25">
                  <c:v>34.693293987289259</c:v>
                </c:pt>
                <c:pt idx="26">
                  <c:v>37.712903657577314</c:v>
                </c:pt>
                <c:pt idx="27">
                  <c:v>40.472266792901635</c:v>
                </c:pt>
                <c:pt idx="28">
                  <c:v>44.224746226950451</c:v>
                </c:pt>
                <c:pt idx="29">
                  <c:v>48.448756385985739</c:v>
                </c:pt>
                <c:pt idx="30">
                  <c:v>51.584748234598464</c:v>
                </c:pt>
                <c:pt idx="31">
                  <c:v>41.909702482312142</c:v>
                </c:pt>
                <c:pt idx="32">
                  <c:v>49.932179196028763</c:v>
                </c:pt>
                <c:pt idx="33">
                  <c:v>58.754600124744286</c:v>
                </c:pt>
                <c:pt idx="34">
                  <c:v>59.798074505721424</c:v>
                </c:pt>
                <c:pt idx="35">
                  <c:v>59.283878578712113</c:v>
                </c:pt>
                <c:pt idx="36">
                  <c:v>59.006329810345683</c:v>
                </c:pt>
                <c:pt idx="37">
                  <c:v>61.170268063972074</c:v>
                </c:pt>
                <c:pt idx="38">
                  <c:v>61.872521208670662</c:v>
                </c:pt>
                <c:pt idx="39">
                  <c:v>67.598491495765074</c:v>
                </c:pt>
                <c:pt idx="40">
                  <c:v>72.724373993626784</c:v>
                </c:pt>
                <c:pt idx="41">
                  <c:v>74.455692348075104</c:v>
                </c:pt>
                <c:pt idx="42">
                  <c:v>68.152665187857167</c:v>
                </c:pt>
                <c:pt idx="43">
                  <c:v>86.579061109812443</c:v>
                </c:pt>
                <c:pt idx="44">
                  <c:v>106.14163248153368</c:v>
                </c:pt>
                <c:pt idx="45">
                  <c:v>100</c:v>
                </c:pt>
              </c:numCache>
            </c:numRef>
          </c:val>
          <c:smooth val="0"/>
          <c:extLst>
            <c:ext xmlns:c16="http://schemas.microsoft.com/office/drawing/2014/chart" uri="{C3380CC4-5D6E-409C-BE32-E72D297353CC}">
              <c16:uniqueId val="{00000001-21A6-4852-B092-7E5DF255AB37}"/>
            </c:ext>
          </c:extLst>
        </c:ser>
        <c:ser>
          <c:idx val="2"/>
          <c:order val="2"/>
          <c:spPr>
            <a:ln>
              <a:noFill/>
            </a:ln>
          </c:spPr>
          <c:marker>
            <c:symbol val="none"/>
          </c:marker>
          <c:cat>
            <c:numRef>
              <c:f>[0]!Diagramm_Index_Jahreszahlen_Import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[0]!Diagramm_Index_Exporte_AHP</c:f>
              <c:numCache>
                <c:formatCode>General</c:formatCode>
                <c:ptCount val="46"/>
                <c:pt idx="0">
                  <c:v>6.3674106696286108</c:v>
                </c:pt>
                <c:pt idx="1">
                  <c:v>7.7616990151273244</c:v>
                </c:pt>
                <c:pt idx="2">
                  <c:v>8.6654064500620862</c:v>
                </c:pt>
                <c:pt idx="3">
                  <c:v>9.107100197729137</c:v>
                </c:pt>
                <c:pt idx="4">
                  <c:v>9.7223065386618188</c:v>
                </c:pt>
                <c:pt idx="5">
                  <c:v>10.601673803684623</c:v>
                </c:pt>
                <c:pt idx="6">
                  <c:v>11.57052025092098</c:v>
                </c:pt>
                <c:pt idx="7">
                  <c:v>13.2440094892637</c:v>
                </c:pt>
                <c:pt idx="8">
                  <c:v>13.930174946328751</c:v>
                </c:pt>
                <c:pt idx="9">
                  <c:v>14.815666567306229</c:v>
                </c:pt>
                <c:pt idx="10">
                  <c:v>16.674523976057088</c:v>
                </c:pt>
                <c:pt idx="11">
                  <c:v>18.405812571532731</c:v>
                </c:pt>
                <c:pt idx="12">
                  <c:v>21.245869405606584</c:v>
                </c:pt>
                <c:pt idx="13">
                  <c:v>23.228554010221334</c:v>
                </c:pt>
                <c:pt idx="14">
                  <c:v>24.115192559149015</c:v>
                </c:pt>
                <c:pt idx="15">
                  <c:v>22.638868952782712</c:v>
                </c:pt>
                <c:pt idx="16">
                  <c:v>24.260799421095641</c:v>
                </c:pt>
                <c:pt idx="17">
                  <c:v>27.635356963166629</c:v>
                </c:pt>
                <c:pt idx="18">
                  <c:v>28.451194041294158</c:v>
                </c:pt>
                <c:pt idx="19">
                  <c:v>31.160737340818823</c:v>
                </c:pt>
                <c:pt idx="20">
                  <c:v>34.601113785875739</c:v>
                </c:pt>
                <c:pt idx="21">
                  <c:v>35.98859418243152</c:v>
                </c:pt>
                <c:pt idx="22">
                  <c:v>39.730547494938797</c:v>
                </c:pt>
                <c:pt idx="23">
                  <c:v>41.296278052697012</c:v>
                </c:pt>
                <c:pt idx="24">
                  <c:v>42.355674270162538</c:v>
                </c:pt>
                <c:pt idx="25">
                  <c:v>42.886730488586558</c:v>
                </c:pt>
                <c:pt idx="26">
                  <c:v>49.48587179201256</c:v>
                </c:pt>
                <c:pt idx="27">
                  <c:v>51.463420507963299</c:v>
                </c:pt>
                <c:pt idx="28">
                  <c:v>53.799983605548654</c:v>
                </c:pt>
                <c:pt idx="29">
                  <c:v>58.878731281543629</c:v>
                </c:pt>
                <c:pt idx="30">
                  <c:v>59.841506813514378</c:v>
                </c:pt>
                <c:pt idx="31">
                  <c:v>49.875267770298656</c:v>
                </c:pt>
                <c:pt idx="32">
                  <c:v>59.020724703396446</c:v>
                </c:pt>
                <c:pt idx="33">
                  <c:v>65.02417917968657</c:v>
                </c:pt>
                <c:pt idx="34">
                  <c:v>64.684376591592539</c:v>
                </c:pt>
                <c:pt idx="35">
                  <c:v>64.736429492710755</c:v>
                </c:pt>
                <c:pt idx="36">
                  <c:v>65.092973772710423</c:v>
                </c:pt>
                <c:pt idx="37">
                  <c:v>67.477081045515689</c:v>
                </c:pt>
                <c:pt idx="38">
                  <c:v>68.464838698868434</c:v>
                </c:pt>
                <c:pt idx="39">
                  <c:v>73.267162457816227</c:v>
                </c:pt>
                <c:pt idx="40">
                  <c:v>77.319796469825192</c:v>
                </c:pt>
                <c:pt idx="41">
                  <c:v>76.974005726461797</c:v>
                </c:pt>
                <c:pt idx="42">
                  <c:v>74.235060402474886</c:v>
                </c:pt>
                <c:pt idx="43">
                  <c:v>85.336497080036494</c:v>
                </c:pt>
                <c:pt idx="44">
                  <c:v>99.159629074972273</c:v>
                </c:pt>
                <c:pt idx="45">
                  <c:v>100</c:v>
                </c:pt>
              </c:numCache>
            </c:numRef>
          </c:val>
          <c:smooth val="0"/>
          <c:extLst>
            <c:ext xmlns:c16="http://schemas.microsoft.com/office/drawing/2014/chart" uri="{C3380CC4-5D6E-409C-BE32-E72D297353CC}">
              <c16:uniqueId val="{00000002-21A6-4852-B092-7E5DF255AB37}"/>
            </c:ext>
          </c:extLst>
        </c:ser>
        <c:ser>
          <c:idx val="3"/>
          <c:order val="3"/>
          <c:spPr>
            <a:ln>
              <a:noFill/>
            </a:ln>
          </c:spPr>
          <c:marker>
            <c:symbol val="none"/>
          </c:marker>
          <c:cat>
            <c:numRef>
              <c:f>[0]!Diagramm_Index_Jahreszahlen_Import</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[0]!Diagramm_Index_Exporte_Welt_ohne_AHP</c:f>
              <c:numCache>
                <c:formatCode>General</c:formatCode>
                <c:ptCount val="46"/>
                <c:pt idx="0">
                  <c:v>6.3862940533133479</c:v>
                </c:pt>
                <c:pt idx="1">
                  <c:v>7.3555584048857465</c:v>
                </c:pt>
                <c:pt idx="2">
                  <c:v>8.0023081749958127</c:v>
                </c:pt>
                <c:pt idx="3">
                  <c:v>9.1301514007540305</c:v>
                </c:pt>
                <c:pt idx="4">
                  <c:v>9.6488863066401098</c:v>
                </c:pt>
                <c:pt idx="5">
                  <c:v>9.8125953218079118</c:v>
                </c:pt>
                <c:pt idx="6">
                  <c:v>11.325243474018864</c:v>
                </c:pt>
                <c:pt idx="7">
                  <c:v>12.654747634809963</c:v>
                </c:pt>
                <c:pt idx="8">
                  <c:v>11.784592791562229</c:v>
                </c:pt>
                <c:pt idx="9">
                  <c:v>11.417559259209709</c:v>
                </c:pt>
                <c:pt idx="10">
                  <c:v>12.738306205279398</c:v>
                </c:pt>
                <c:pt idx="11">
                  <c:v>14.383674138989289</c:v>
                </c:pt>
                <c:pt idx="12">
                  <c:v>15.094515118729785</c:v>
                </c:pt>
                <c:pt idx="13">
                  <c:v>14.941084689857709</c:v>
                </c:pt>
                <c:pt idx="14">
                  <c:v>15.012172378296833</c:v>
                </c:pt>
                <c:pt idx="15">
                  <c:v>14.577262159703464</c:v>
                </c:pt>
                <c:pt idx="16">
                  <c:v>16.229161923800461</c:v>
                </c:pt>
                <c:pt idx="17">
                  <c:v>18.292687535605872</c:v>
                </c:pt>
                <c:pt idx="18">
                  <c:v>19.602845904481363</c:v>
                </c:pt>
                <c:pt idx="19">
                  <c:v>23.747716494325864</c:v>
                </c:pt>
                <c:pt idx="20">
                  <c:v>25.386227408522704</c:v>
                </c:pt>
                <c:pt idx="21">
                  <c:v>27.605090924604507</c:v>
                </c:pt>
                <c:pt idx="22">
                  <c:v>32.70019471571257</c:v>
                </c:pt>
                <c:pt idx="23">
                  <c:v>35.265014611250976</c:v>
                </c:pt>
                <c:pt idx="24">
                  <c:v>37.045569817966211</c:v>
                </c:pt>
                <c:pt idx="25">
                  <c:v>37.884400908842046</c:v>
                </c:pt>
                <c:pt idx="26">
                  <c:v>42.871872748967199</c:v>
                </c:pt>
                <c:pt idx="27">
                  <c:v>45.477274672264457</c:v>
                </c:pt>
                <c:pt idx="28">
                  <c:v>50.876591698089435</c:v>
                </c:pt>
                <c:pt idx="29">
                  <c:v>56.485657253340079</c:v>
                </c:pt>
                <c:pt idx="30">
                  <c:v>58.092039062584298</c:v>
                </c:pt>
                <c:pt idx="31">
                  <c:v>45.451174793837417</c:v>
                </c:pt>
                <c:pt idx="32">
                  <c:v>52.690538401789709</c:v>
                </c:pt>
                <c:pt idx="33">
                  <c:v>58.9482422653155</c:v>
                </c:pt>
                <c:pt idx="34">
                  <c:v>60.334251087225532</c:v>
                </c:pt>
                <c:pt idx="35">
                  <c:v>61.90955520641365</c:v>
                </c:pt>
                <c:pt idx="36">
                  <c:v>63.378019320684587</c:v>
                </c:pt>
                <c:pt idx="37">
                  <c:v>64.812481357559946</c:v>
                </c:pt>
                <c:pt idx="38">
                  <c:v>64.114765589021246</c:v>
                </c:pt>
                <c:pt idx="39">
                  <c:v>69.750341635325142</c:v>
                </c:pt>
                <c:pt idx="40">
                  <c:v>73.805687473925303</c:v>
                </c:pt>
                <c:pt idx="41">
                  <c:v>76.363337662683307</c:v>
                </c:pt>
                <c:pt idx="42">
                  <c:v>69.792925821164374</c:v>
                </c:pt>
                <c:pt idx="43">
                  <c:v>81.426440552378381</c:v>
                </c:pt>
                <c:pt idx="44">
                  <c:v>96.215329395484389</c:v>
                </c:pt>
                <c:pt idx="45">
                  <c:v>100</c:v>
                </c:pt>
              </c:numCache>
            </c:numRef>
          </c:val>
          <c:smooth val="0"/>
          <c:extLst>
            <c:ext xmlns:c16="http://schemas.microsoft.com/office/drawing/2014/chart" uri="{C3380CC4-5D6E-409C-BE32-E72D297353CC}">
              <c16:uniqueId val="{00000003-21A6-4852-B092-7E5DF255AB37}"/>
            </c:ext>
          </c:extLst>
        </c:ser>
        <c:dLbls>
          <c:showLegendKey val="0"/>
          <c:showVal val="0"/>
          <c:showCatName val="0"/>
          <c:showSerName val="0"/>
          <c:showPercent val="0"/>
          <c:showBubbleSize val="0"/>
        </c:dLbls>
        <c:smooth val="0"/>
        <c:axId val="65674624"/>
        <c:axId val="65676800"/>
      </c:lineChart>
      <c:catAx>
        <c:axId val="65674624"/>
        <c:scaling>
          <c:orientation val="minMax"/>
        </c:scaling>
        <c:delete val="0"/>
        <c:axPos val="b"/>
        <c:numFmt formatCode="General" sourceLinked="1"/>
        <c:majorTickMark val="out"/>
        <c:minorTickMark val="none"/>
        <c:tickLblPos val="nextTo"/>
        <c:spPr>
          <a:ln w="6350">
            <a:solidFill>
              <a:srgbClr val="B3B3B3"/>
            </a:solidFill>
          </a:ln>
        </c:spPr>
        <c:txPr>
          <a:bodyPr rot="-5400000" vert="horz"/>
          <a:lstStyle/>
          <a:p>
            <a:pPr>
              <a:defRPr/>
            </a:pPr>
            <a:endParaRPr lang="de-DE"/>
          </a:p>
        </c:txPr>
        <c:crossAx val="65676800"/>
        <c:crossesAt val="-200"/>
        <c:auto val="1"/>
        <c:lblAlgn val="ctr"/>
        <c:lblOffset val="100"/>
        <c:noMultiLvlLbl val="0"/>
      </c:catAx>
      <c:valAx>
        <c:axId val="65676800"/>
        <c:scaling>
          <c:orientation val="minMax"/>
        </c:scaling>
        <c:delete val="0"/>
        <c:axPos val="l"/>
        <c:majorGridlines>
          <c:spPr>
            <a:ln>
              <a:noFill/>
            </a:ln>
          </c:spPr>
        </c:majorGridlines>
        <c:numFmt formatCode="0" sourceLinked="0"/>
        <c:majorTickMark val="out"/>
        <c:minorTickMark val="none"/>
        <c:tickLblPos val="nextTo"/>
        <c:spPr>
          <a:ln w="6350">
            <a:solidFill>
              <a:srgbClr val="B3B3B3"/>
            </a:solidFill>
          </a:ln>
        </c:spPr>
        <c:txPr>
          <a:bodyPr/>
          <a:lstStyle/>
          <a:p>
            <a:pPr>
              <a:defRPr sz="1000"/>
            </a:pPr>
            <a:endParaRPr lang="de-DE"/>
          </a:p>
        </c:txPr>
        <c:crossAx val="65674624"/>
        <c:crosses val="autoZero"/>
        <c:crossBetween val="between"/>
      </c:valAx>
    </c:plotArea>
    <c:legend>
      <c:legendPos val="r"/>
      <c:legendEntry>
        <c:idx val="2"/>
        <c:delete val="1"/>
      </c:legendEntry>
      <c:legendEntry>
        <c:idx val="3"/>
        <c:delete val="1"/>
      </c:legendEntry>
      <c:layout>
        <c:manualLayout>
          <c:xMode val="edge"/>
          <c:yMode val="edge"/>
          <c:x val="0.51295287916254051"/>
          <c:y val="2.2732017420539004E-3"/>
          <c:w val="0.48242757442750522"/>
          <c:h val="0.16495147154140757"/>
        </c:manualLayout>
      </c:layout>
      <c:overlay val="1"/>
      <c:spPr>
        <a:solidFill>
          <a:srgbClr val="FFFFFF">
            <a:alpha val="90000"/>
          </a:srgbClr>
        </a:solidFill>
      </c:spPr>
    </c:legend>
    <c:plotVisOnly val="1"/>
    <c:dispBlanksAs val="gap"/>
    <c:showDLblsOverMax val="0"/>
  </c:chart>
  <c:spPr>
    <a:noFill/>
    <a:ln>
      <a:noFill/>
    </a:ln>
  </c:spPr>
  <c:txPr>
    <a:bodyPr/>
    <a:lstStyle/>
    <a:p>
      <a:pPr>
        <a:defRPr>
          <a:latin typeface="Trebuchet MS" panose="020B0603020202020204" pitchFamily="34" charset="0"/>
        </a:defRPr>
      </a:pPr>
      <a:endParaRPr lang="de-DE"/>
    </a:p>
  </c:txPr>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Drop" dropLines="20" dropStyle="combo" dx="16" fmlaLink="Dropdown!$D$3" fmlaRange="Dropdown!$B$3:$B$259" noThreeD="1" sel="55" val="38"/>
</file>

<file path=xl/ctrlProps/ctrlProp2.xml><?xml version="1.0" encoding="utf-8"?>
<formControlPr xmlns="http://schemas.microsoft.com/office/spreadsheetml/2009/9/main" objectType="Spin" dx="16" fmlaLink="Dropdown!$J$3" max="2023" min="1978" page="10" val="2023"/>
</file>

<file path=xl/ctrlProps/ctrlProp3.xml><?xml version="1.0" encoding="utf-8"?>
<formControlPr xmlns="http://schemas.microsoft.com/office/spreadsheetml/2009/9/main" objectType="Spin" dx="16" fmlaLink="Dropdown!$O$3" max="2023" min="1978" page="10" val="2023"/>
</file>

<file path=xl/ctrlProps/ctrlProp4.xml><?xml version="1.0" encoding="utf-8"?>
<formControlPr xmlns="http://schemas.microsoft.com/office/spreadsheetml/2009/9/main" objectType="Radio" checked="Checked" firstButton="1" fmlaLink="Texte!$A$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450850</xdr:colOff>
          <xdr:row>0</xdr:row>
          <xdr:rowOff>31750</xdr:rowOff>
        </xdr:from>
        <xdr:to>
          <xdr:col>4</xdr:col>
          <xdr:colOff>412750</xdr:colOff>
          <xdr:row>2</xdr:row>
          <xdr:rowOff>0</xdr:rowOff>
        </xdr:to>
        <xdr:sp macro="" textlink="">
          <xdr:nvSpPr>
            <xdr:cNvPr id="612353" name="Drop Down 1" hidden="1">
              <a:extLst>
                <a:ext uri="{63B3BB69-23CF-44E3-9099-C40C66FF867C}">
                  <a14:compatExt spid="_x0000_s612353"/>
                </a:ext>
                <a:ext uri="{FF2B5EF4-FFF2-40B4-BE49-F238E27FC236}">
                  <a16:creationId xmlns:a16="http://schemas.microsoft.com/office/drawing/2014/main" id="{00000000-0008-0000-0000-00000158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1295400</xdr:colOff>
          <xdr:row>0</xdr:row>
          <xdr:rowOff>38100</xdr:rowOff>
        </xdr:from>
        <xdr:to>
          <xdr:col>7</xdr:col>
          <xdr:colOff>1441450</xdr:colOff>
          <xdr:row>2</xdr:row>
          <xdr:rowOff>0</xdr:rowOff>
        </xdr:to>
        <xdr:sp macro="" textlink="">
          <xdr:nvSpPr>
            <xdr:cNvPr id="612354" name="Spinner 2" hidden="1">
              <a:extLst>
                <a:ext uri="{63B3BB69-23CF-44E3-9099-C40C66FF867C}">
                  <a14:compatExt spid="_x0000_s612354"/>
                </a:ext>
                <a:ext uri="{FF2B5EF4-FFF2-40B4-BE49-F238E27FC236}">
                  <a16:creationId xmlns:a16="http://schemas.microsoft.com/office/drawing/2014/main" id="{00000000-0008-0000-0000-0000025809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47626</xdr:colOff>
      <xdr:row>7</xdr:row>
      <xdr:rowOff>117740</xdr:rowOff>
    </xdr:from>
    <xdr:to>
      <xdr:col>5</xdr:col>
      <xdr:colOff>795867</xdr:colOff>
      <xdr:row>24</xdr:row>
      <xdr:rowOff>135202</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12700</xdr:colOff>
      <xdr:row>7</xdr:row>
      <xdr:rowOff>120121</xdr:rowOff>
    </xdr:from>
    <xdr:to>
      <xdr:col>11</xdr:col>
      <xdr:colOff>787400</xdr:colOff>
      <xdr:row>24</xdr:row>
      <xdr:rowOff>133350</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222250</xdr:colOff>
          <xdr:row>41</xdr:row>
          <xdr:rowOff>184150</xdr:rowOff>
        </xdr:from>
        <xdr:to>
          <xdr:col>3</xdr:col>
          <xdr:colOff>355600</xdr:colOff>
          <xdr:row>42</xdr:row>
          <xdr:rowOff>184150</xdr:rowOff>
        </xdr:to>
        <xdr:sp macro="" textlink="">
          <xdr:nvSpPr>
            <xdr:cNvPr id="612355" name="Spinner 3" hidden="1">
              <a:extLst>
                <a:ext uri="{63B3BB69-23CF-44E3-9099-C40C66FF867C}">
                  <a14:compatExt spid="_x0000_s612355"/>
                </a:ext>
                <a:ext uri="{FF2B5EF4-FFF2-40B4-BE49-F238E27FC236}">
                  <a16:creationId xmlns:a16="http://schemas.microsoft.com/office/drawing/2014/main" id="{00000000-0008-0000-0000-0000035809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0</xdr:colOff>
      <xdr:row>44</xdr:row>
      <xdr:rowOff>85717</xdr:rowOff>
    </xdr:from>
    <xdr:to>
      <xdr:col>5</xdr:col>
      <xdr:colOff>828675</xdr:colOff>
      <xdr:row>64</xdr:row>
      <xdr:rowOff>76200</xdr:rowOff>
    </xdr:to>
    <xdr:graphicFrame macro="">
      <xdr:nvGraphicFramePr>
        <xdr:cNvPr id="9" name="Diagramm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6</xdr:col>
      <xdr:colOff>23284</xdr:colOff>
      <xdr:row>44</xdr:row>
      <xdr:rowOff>85718</xdr:rowOff>
    </xdr:from>
    <xdr:to>
      <xdr:col>11</xdr:col>
      <xdr:colOff>787400</xdr:colOff>
      <xdr:row>64</xdr:row>
      <xdr:rowOff>76201</xdr:rowOff>
    </xdr:to>
    <xdr:graphicFrame macro="">
      <xdr:nvGraphicFramePr>
        <xdr:cNvPr id="11" name="Diagramm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1089660</xdr:colOff>
      <xdr:row>0</xdr:row>
      <xdr:rowOff>40005</xdr:rowOff>
    </xdr:from>
    <xdr:to>
      <xdr:col>11</xdr:col>
      <xdr:colOff>801624</xdr:colOff>
      <xdr:row>2</xdr:row>
      <xdr:rowOff>150305</xdr:rowOff>
    </xdr:to>
    <xdr:pic>
      <xdr:nvPicPr>
        <xdr:cNvPr id="12" name="Grafik 11" descr="http://mossportal.res.wk.wknet/folienportal/Bilder%20und%20Logos/WKÖ%20Logos/wika_oe4.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cstate="print"/>
        <a:srcRect/>
        <a:stretch>
          <a:fillRect/>
        </a:stretch>
      </xdr:blipFill>
      <xdr:spPr bwMode="auto">
        <a:xfrm>
          <a:off x="8633460" y="40005"/>
          <a:ext cx="1312164" cy="377000"/>
        </a:xfrm>
        <a:prstGeom prst="rect">
          <a:avLst/>
        </a:prstGeom>
        <a:noFill/>
        <a:ln w="9525">
          <a:noFill/>
          <a:miter lim="800000"/>
          <a:headEnd/>
          <a:tailEnd/>
        </a:ln>
      </xdr:spPr>
    </xdr:pic>
    <xdr:clientData/>
  </xdr:twoCellAnchor>
  <xdr:twoCellAnchor editAs="oneCell">
    <xdr:from>
      <xdr:col>9</xdr:col>
      <xdr:colOff>1104900</xdr:colOff>
      <xdr:row>40</xdr:row>
      <xdr:rowOff>38100</xdr:rowOff>
    </xdr:from>
    <xdr:to>
      <xdr:col>11</xdr:col>
      <xdr:colOff>816864</xdr:colOff>
      <xdr:row>42</xdr:row>
      <xdr:rowOff>163640</xdr:rowOff>
    </xdr:to>
    <xdr:pic>
      <xdr:nvPicPr>
        <xdr:cNvPr id="13" name="Grafik 12" descr="http://mossportal.res.wk.wknet/folienportal/Bilder%20und%20Logos/WKÖ%20Logos/wika_oe4.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cstate="print"/>
        <a:srcRect/>
        <a:stretch>
          <a:fillRect/>
        </a:stretch>
      </xdr:blipFill>
      <xdr:spPr bwMode="auto">
        <a:xfrm>
          <a:off x="8467725" y="6924675"/>
          <a:ext cx="1274064" cy="41129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336550</xdr:colOff>
          <xdr:row>1</xdr:row>
          <xdr:rowOff>69850</xdr:rowOff>
        </xdr:from>
        <xdr:to>
          <xdr:col>13</xdr:col>
          <xdr:colOff>279400</xdr:colOff>
          <xdr:row>2</xdr:row>
          <xdr:rowOff>69850</xdr:rowOff>
        </xdr:to>
        <xdr:sp macro="" textlink="">
          <xdr:nvSpPr>
            <xdr:cNvPr id="612363" name="Option Button 11" hidden="1">
              <a:extLst>
                <a:ext uri="{63B3BB69-23CF-44E3-9099-C40C66FF867C}">
                  <a14:compatExt spid="_x0000_s612363"/>
                </a:ext>
                <a:ext uri="{FF2B5EF4-FFF2-40B4-BE49-F238E27FC236}">
                  <a16:creationId xmlns:a16="http://schemas.microsoft.com/office/drawing/2014/main" id="{00000000-0008-0000-0000-00000B5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Deutsch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2</xdr:row>
          <xdr:rowOff>12700</xdr:rowOff>
        </xdr:from>
        <xdr:to>
          <xdr:col>13</xdr:col>
          <xdr:colOff>279400</xdr:colOff>
          <xdr:row>3</xdr:row>
          <xdr:rowOff>69850</xdr:rowOff>
        </xdr:to>
        <xdr:sp macro="" textlink="">
          <xdr:nvSpPr>
            <xdr:cNvPr id="612364" name="Option Button 12" hidden="1">
              <a:extLst>
                <a:ext uri="{63B3BB69-23CF-44E3-9099-C40C66FF867C}">
                  <a14:compatExt spid="_x0000_s612364"/>
                </a:ext>
                <a:ext uri="{FF2B5EF4-FFF2-40B4-BE49-F238E27FC236}">
                  <a16:creationId xmlns:a16="http://schemas.microsoft.com/office/drawing/2014/main" id="{00000000-0008-0000-0000-00000C5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0</xdr:row>
          <xdr:rowOff>69850</xdr:rowOff>
        </xdr:from>
        <xdr:to>
          <xdr:col>13</xdr:col>
          <xdr:colOff>495300</xdr:colOff>
          <xdr:row>3</xdr:row>
          <xdr:rowOff>88900</xdr:rowOff>
        </xdr:to>
        <xdr:sp macro="" textlink="">
          <xdr:nvSpPr>
            <xdr:cNvPr id="612365" name="Group Box 13" hidden="1">
              <a:extLst>
                <a:ext uri="{63B3BB69-23CF-44E3-9099-C40C66FF867C}">
                  <a14:compatExt spid="_x0000_s612365"/>
                </a:ext>
                <a:ext uri="{FF2B5EF4-FFF2-40B4-BE49-F238E27FC236}">
                  <a16:creationId xmlns:a16="http://schemas.microsoft.com/office/drawing/2014/main" id="{00000000-0008-0000-0000-00000D580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de-AT" sz="800" b="0" i="0" u="none" strike="noStrike" baseline="0">
                  <a:solidFill>
                    <a:srgbClr val="000000"/>
                  </a:solidFill>
                  <a:latin typeface="Tahoma"/>
                  <a:ea typeface="Tahoma"/>
                  <a:cs typeface="Tahoma"/>
                </a:rPr>
                <a:t>Sprache/Language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0</xdr:row>
          <xdr:rowOff>0</xdr:rowOff>
        </xdr:from>
        <xdr:to>
          <xdr:col>9</xdr:col>
          <xdr:colOff>1022350</xdr:colOff>
          <xdr:row>1</xdr:row>
          <xdr:rowOff>139700</xdr:rowOff>
        </xdr:to>
        <xdr:sp macro="" textlink="">
          <xdr:nvSpPr>
            <xdr:cNvPr id="612366" name="in_Euro" hidden="1">
              <a:extLst>
                <a:ext uri="{63B3BB69-23CF-44E3-9099-C40C66FF867C}">
                  <a14:compatExt spid="_x0000_s612366"/>
                </a:ext>
                <a:ext uri="{FF2B5EF4-FFF2-40B4-BE49-F238E27FC236}">
                  <a16:creationId xmlns:a16="http://schemas.microsoft.com/office/drawing/2014/main" id="{00000000-0008-0000-0000-00000E58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xdr:row>
          <xdr:rowOff>76200</xdr:rowOff>
        </xdr:from>
        <xdr:to>
          <xdr:col>9</xdr:col>
          <xdr:colOff>1022350</xdr:colOff>
          <xdr:row>2</xdr:row>
          <xdr:rowOff>114300</xdr:rowOff>
        </xdr:to>
        <xdr:sp macro="" textlink="">
          <xdr:nvSpPr>
            <xdr:cNvPr id="612367" name="in_1000_Euro" hidden="1">
              <a:extLst>
                <a:ext uri="{63B3BB69-23CF-44E3-9099-C40C66FF867C}">
                  <a14:compatExt spid="_x0000_s612367"/>
                </a:ext>
                <a:ext uri="{FF2B5EF4-FFF2-40B4-BE49-F238E27FC236}">
                  <a16:creationId xmlns:a16="http://schemas.microsoft.com/office/drawing/2014/main" id="{00000000-0008-0000-0000-00000F58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xdr:row>
          <xdr:rowOff>12700</xdr:rowOff>
        </xdr:from>
        <xdr:to>
          <xdr:col>9</xdr:col>
          <xdr:colOff>1022350</xdr:colOff>
          <xdr:row>3</xdr:row>
          <xdr:rowOff>50800</xdr:rowOff>
        </xdr:to>
        <xdr:sp macro="" textlink="">
          <xdr:nvSpPr>
            <xdr:cNvPr id="612368" name="in_Mill_Euro" hidden="1">
              <a:extLst>
                <a:ext uri="{63B3BB69-23CF-44E3-9099-C40C66FF867C}">
                  <a14:compatExt spid="_x0000_s612368"/>
                </a:ext>
                <a:ext uri="{FF2B5EF4-FFF2-40B4-BE49-F238E27FC236}">
                  <a16:creationId xmlns:a16="http://schemas.microsoft.com/office/drawing/2014/main" id="{00000000-0008-0000-0000-00001058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bfrage von MS Access Database" connectionId="1" xr16:uid="{00000000-0016-0000-0100-000000000000}" autoFormatId="16" applyNumberFormats="0" applyBorderFormats="0" applyFontFormats="0" applyPatternFormats="0" applyAlignmentFormats="0" applyWidthHeightFormats="0">
  <queryTableRefresh nextId="88" unboundColumnsLeft="1" unboundColumnsRight="48">
    <queryTableFields count="50">
      <queryTableField id="1" dataBound="0" tableColumnId="1"/>
      <queryTableField id="2" name="Partnerland" tableColumnId="2"/>
      <queryTableField id="73" dataBound="0" tableColumnId="38"/>
      <queryTableField id="74" dataBound="0" tableColumnId="39"/>
      <queryTableField id="38" dataBound="0" tableColumnId="3"/>
      <queryTableField id="39" dataBound="0" tableColumnId="4"/>
      <queryTableField id="40" dataBound="0" tableColumnId="5"/>
      <queryTableField id="41" dataBound="0" tableColumnId="6"/>
      <queryTableField id="42" dataBound="0" tableColumnId="7"/>
      <queryTableField id="43" dataBound="0" tableColumnId="8"/>
      <queryTableField id="44" dataBound="0" tableColumnId="9"/>
      <queryTableField id="45" dataBound="0" tableColumnId="10"/>
      <queryTableField id="46" dataBound="0" tableColumnId="11"/>
      <queryTableField id="47" dataBound="0" tableColumnId="12"/>
      <queryTableField id="48" dataBound="0" tableColumnId="13"/>
      <queryTableField id="49" dataBound="0" tableColumnId="14"/>
      <queryTableField id="50" dataBound="0" tableColumnId="15"/>
      <queryTableField id="51" dataBound="0" tableColumnId="16"/>
      <queryTableField id="52" dataBound="0" tableColumnId="17"/>
      <queryTableField id="53" dataBound="0" tableColumnId="18"/>
      <queryTableField id="54" dataBound="0" tableColumnId="19"/>
      <queryTableField id="55" dataBound="0" tableColumnId="20"/>
      <queryTableField id="56" dataBound="0" tableColumnId="21"/>
      <queryTableField id="57" dataBound="0" tableColumnId="22"/>
      <queryTableField id="58" dataBound="0" tableColumnId="23"/>
      <queryTableField id="59" dataBound="0" tableColumnId="24"/>
      <queryTableField id="60" dataBound="0" tableColumnId="25"/>
      <queryTableField id="61" dataBound="0" tableColumnId="26"/>
      <queryTableField id="62" dataBound="0" tableColumnId="27"/>
      <queryTableField id="63" dataBound="0" tableColumnId="28"/>
      <queryTableField id="64" dataBound="0" tableColumnId="29"/>
      <queryTableField id="65" dataBound="0" tableColumnId="30"/>
      <queryTableField id="66" dataBound="0" tableColumnId="31"/>
      <queryTableField id="67" dataBound="0" tableColumnId="32"/>
      <queryTableField id="68" dataBound="0" tableColumnId="33"/>
      <queryTableField id="69" dataBound="0" tableColumnId="34"/>
      <queryTableField id="70" dataBound="0" tableColumnId="35"/>
      <queryTableField id="71" dataBound="0" tableColumnId="36"/>
      <queryTableField id="72" dataBound="0" tableColumnId="37"/>
      <queryTableField id="77" dataBound="0" tableColumnId="40"/>
      <queryTableField id="78" dataBound="0" tableColumnId="41"/>
      <queryTableField id="79" dataBound="0" tableColumnId="42"/>
      <queryTableField id="80" dataBound="0" tableColumnId="43"/>
      <queryTableField id="81" dataBound="0" tableColumnId="44"/>
      <queryTableField id="82" dataBound="0" tableColumnId="45"/>
      <queryTableField id="83" dataBound="0" tableColumnId="46"/>
      <queryTableField id="84" dataBound="0" tableColumnId="47"/>
      <queryTableField id="85" dataBound="0" tableColumnId="48"/>
      <queryTableField id="86" dataBound="0" tableColumnId="49"/>
      <queryTableField id="87" dataBound="0" tableColumnId="50"/>
    </queryTableFields>
    <queryTableDeletedFields count="39">
      <deletedField name="1978"/>
      <deletedField name="1979"/>
      <deletedField name="1980"/>
      <deletedField name="1981"/>
      <deletedField name="1982"/>
      <deletedField name="1983"/>
      <deletedField name="1984"/>
      <deletedField name="1985"/>
      <deletedField name="1986"/>
      <deletedField name="1987"/>
      <deletedField name="1988"/>
      <deletedField name="1989"/>
      <deletedField name="1990"/>
      <deletedField name="1991"/>
      <deletedField name="1992"/>
      <deletedField name="1993"/>
      <deletedField name="1994"/>
      <deletedField name="1995"/>
      <deletedField name="1996"/>
      <deletedField name="1997"/>
      <deletedField name="1998"/>
      <deletedField name="1999"/>
      <deletedField name="2000"/>
      <deletedField name="2001"/>
      <deletedField name="2002"/>
      <deletedField name="2003"/>
      <deletedField name="2004"/>
      <deletedField name="2005"/>
      <deletedField name="2006"/>
      <deletedField name="2007"/>
      <deletedField name="2008"/>
      <deletedField name="2009"/>
      <deletedField name="2010"/>
      <deletedField name="2011"/>
      <deletedField name="2012"/>
      <deletedField name="2013"/>
      <deletedField name="VON"/>
      <deletedField name="BIS"/>
      <deletedField name="LAND"/>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bfrage von MS Access Database" connectionId="2" xr16:uid="{00000000-0016-0000-0200-000001000000}" autoFormatId="16" applyNumberFormats="0" applyBorderFormats="0" applyFontFormats="0" applyPatternFormats="0" applyAlignmentFormats="0" applyWidthHeightFormats="0">
  <queryTableRefresh nextId="123" unboundColumnsLeft="1" unboundColumnsRight="48">
    <queryTableFields count="50">
      <queryTableField id="1" dataBound="0" tableColumnId="1"/>
      <queryTableField id="2" name="Partnerland" tableColumnId="2"/>
      <queryTableField id="108" dataBound="0" tableColumnId="38"/>
      <queryTableField id="109" dataBound="0" tableColumnId="39"/>
      <queryTableField id="73" dataBound="0" tableColumnId="3"/>
      <queryTableField id="74" dataBound="0" tableColumnId="4"/>
      <queryTableField id="75" dataBound="0" tableColumnId="5"/>
      <queryTableField id="76" dataBound="0" tableColumnId="6"/>
      <queryTableField id="77" dataBound="0" tableColumnId="7"/>
      <queryTableField id="78" dataBound="0" tableColumnId="8"/>
      <queryTableField id="79" dataBound="0" tableColumnId="9"/>
      <queryTableField id="80" dataBound="0" tableColumnId="10"/>
      <queryTableField id="81" dataBound="0" tableColumnId="11"/>
      <queryTableField id="82" dataBound="0" tableColumnId="12"/>
      <queryTableField id="83" dataBound="0" tableColumnId="13"/>
      <queryTableField id="84" dataBound="0" tableColumnId="14"/>
      <queryTableField id="85" dataBound="0" tableColumnId="15"/>
      <queryTableField id="86" dataBound="0" tableColumnId="16"/>
      <queryTableField id="87" dataBound="0" tableColumnId="17"/>
      <queryTableField id="88" dataBound="0" tableColumnId="18"/>
      <queryTableField id="89" dataBound="0" tableColumnId="19"/>
      <queryTableField id="90" dataBound="0" tableColumnId="20"/>
      <queryTableField id="91" dataBound="0" tableColumnId="21"/>
      <queryTableField id="92" dataBound="0" tableColumnId="22"/>
      <queryTableField id="93" dataBound="0" tableColumnId="23"/>
      <queryTableField id="94" dataBound="0" tableColumnId="24"/>
      <queryTableField id="95" dataBound="0" tableColumnId="25"/>
      <queryTableField id="96" dataBound="0" tableColumnId="26"/>
      <queryTableField id="97" dataBound="0" tableColumnId="27"/>
      <queryTableField id="98" dataBound="0" tableColumnId="28"/>
      <queryTableField id="99" dataBound="0" tableColumnId="29"/>
      <queryTableField id="100" dataBound="0" tableColumnId="30"/>
      <queryTableField id="101" dataBound="0" tableColumnId="31"/>
      <queryTableField id="102" dataBound="0" tableColumnId="32"/>
      <queryTableField id="103" dataBound="0" tableColumnId="33"/>
      <queryTableField id="104" dataBound="0" tableColumnId="34"/>
      <queryTableField id="105" dataBound="0" tableColumnId="35"/>
      <queryTableField id="106" dataBound="0" tableColumnId="36"/>
      <queryTableField id="107" dataBound="0" tableColumnId="37"/>
      <queryTableField id="112" dataBound="0" tableColumnId="40"/>
      <queryTableField id="113" dataBound="0" tableColumnId="41"/>
      <queryTableField id="114" dataBound="0" tableColumnId="42"/>
      <queryTableField id="115" dataBound="0" tableColumnId="43"/>
      <queryTableField id="116" dataBound="0" tableColumnId="44"/>
      <queryTableField id="117" dataBound="0" tableColumnId="45"/>
      <queryTableField id="118" dataBound="0" tableColumnId="46"/>
      <queryTableField id="119" dataBound="0" tableColumnId="47"/>
      <queryTableField id="120" dataBound="0" tableColumnId="48"/>
      <queryTableField id="121" dataBound="0" tableColumnId="49"/>
      <queryTableField id="122" dataBound="0" tableColumnId="50"/>
    </queryTableFields>
    <queryTableDeletedFields count="39">
      <deletedField name="VON"/>
      <deletedField name="BIS"/>
      <deletedField name="1978"/>
      <deletedField name="1979"/>
      <deletedField name="1980"/>
      <deletedField name="1981"/>
      <deletedField name="1982"/>
      <deletedField name="1983"/>
      <deletedField name="1984"/>
      <deletedField name="1985"/>
      <deletedField name="1986"/>
      <deletedField name="1987"/>
      <deletedField name="1988"/>
      <deletedField name="1989"/>
      <deletedField name="1990"/>
      <deletedField name="1991"/>
      <deletedField name="1992"/>
      <deletedField name="1993"/>
      <deletedField name="1994"/>
      <deletedField name="1995"/>
      <deletedField name="1996"/>
      <deletedField name="1997"/>
      <deletedField name="1998"/>
      <deletedField name="1999"/>
      <deletedField name="2000"/>
      <deletedField name="2001"/>
      <deletedField name="2002"/>
      <deletedField name="2003"/>
      <deletedField name="2004"/>
      <deletedField name="2005"/>
      <deletedField name="2006"/>
      <deletedField name="2007"/>
      <deletedField name="2008"/>
      <deletedField name="2009"/>
      <deletedField name="2010"/>
      <deletedField name="2011"/>
      <deletedField name="2012"/>
      <deletedField name="2013"/>
      <deletedField name="LAND"/>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Abfrage von MS Access Database" connectionId="3" xr16:uid="{00000000-0016-0000-0500-000002000000}" autoFormatId="16" applyNumberFormats="0" applyBorderFormats="0" applyFontFormats="0" applyPatternFormats="0" applyAlignmentFormats="0" applyWidthHeightFormats="0">
  <queryTableRefresh nextId="6" unboundColumnsRight="3">
    <queryTableFields count="5">
      <queryTableField id="1" name="LAND" tableColumnId="1"/>
      <queryTableField id="2" name="Partnerland" tableColumnId="2"/>
      <queryTableField id="5" dataBound="0" tableColumnId="5"/>
      <queryTableField id="3" dataBound="0" tableColumnId="3"/>
      <queryTableField id="4" dataBound="0" tableColumnId="4"/>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Abfrage von MS Access Database_1" connectionId="4" xr16:uid="{00000000-0016-0000-0500-000003000000}" autoFormatId="16" applyNumberFormats="0" applyBorderFormats="0" applyFontFormats="0" applyPatternFormats="0" applyAlignmentFormats="0" applyWidthHeightFormats="0">
  <queryTableRefresh nextId="5" unboundColumnsRight="2">
    <queryTableFields count="3">
      <queryTableField id="1" name="Jahr" tableColumnId="1"/>
      <queryTableField id="4" dataBound="0" tableColumnId="3"/>
      <queryTableField id="2" dataBound="0" tableColumnId="2"/>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Abfrage von MS Access Database_2" connectionId="5" xr16:uid="{00000000-0016-0000-0500-000004000000}" autoFormatId="16" applyNumberFormats="0" applyBorderFormats="0" applyFontFormats="0" applyPatternFormats="0" applyAlignmentFormats="0" applyWidthHeightFormats="0">
  <queryTableRefresh nextId="5" unboundColumnsRight="2">
    <queryTableFields count="3">
      <queryTableField id="1" name="Jahr" tableColumnId="1"/>
      <queryTableField id="4" dataBound="0" tableColumnId="3"/>
      <queryTableField id="2" dataBound="0"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_Abfrage_von_MS_Access_Database" displayName="Tabelle_Abfrage_von_MS_Access_Database" ref="A1:AX264" tableType="queryTable" totalsRowShown="0">
  <autoFilter ref="A1:AX264" xr:uid="{00000000-0009-0000-0100-000001000000}"/>
  <tableColumns count="50">
    <tableColumn id="1" xr3:uid="{00000000-0010-0000-0000-000001000000}" uniqueName="1" name="LAND" queryTableFieldId="1"/>
    <tableColumn id="2" xr3:uid="{00000000-0010-0000-0000-000002000000}" uniqueName="2" name="Partnerland" queryTableFieldId="2"/>
    <tableColumn id="38" xr3:uid="{00000000-0010-0000-0000-000026000000}" uniqueName="38" name="VON" queryTableFieldId="73"/>
    <tableColumn id="39" xr3:uid="{00000000-0010-0000-0000-000027000000}" uniqueName="39" name="BIS" queryTableFieldId="74"/>
    <tableColumn id="3" xr3:uid="{00000000-0010-0000-0000-000003000000}" uniqueName="3" name="1978" queryTableFieldId="38"/>
    <tableColumn id="4" xr3:uid="{00000000-0010-0000-0000-000004000000}" uniqueName="4" name="1979" queryTableFieldId="39"/>
    <tableColumn id="5" xr3:uid="{00000000-0010-0000-0000-000005000000}" uniqueName="5" name="1980" queryTableFieldId="40"/>
    <tableColumn id="6" xr3:uid="{00000000-0010-0000-0000-000006000000}" uniqueName="6" name="1981" queryTableFieldId="41"/>
    <tableColumn id="7" xr3:uid="{00000000-0010-0000-0000-000007000000}" uniqueName="7" name="1982" queryTableFieldId="42"/>
    <tableColumn id="8" xr3:uid="{00000000-0010-0000-0000-000008000000}" uniqueName="8" name="1983" queryTableFieldId="43"/>
    <tableColumn id="9" xr3:uid="{00000000-0010-0000-0000-000009000000}" uniqueName="9" name="1984" queryTableFieldId="44"/>
    <tableColumn id="10" xr3:uid="{00000000-0010-0000-0000-00000A000000}" uniqueName="10" name="1985" queryTableFieldId="45"/>
    <tableColumn id="11" xr3:uid="{00000000-0010-0000-0000-00000B000000}" uniqueName="11" name="1986" queryTableFieldId="46"/>
    <tableColumn id="12" xr3:uid="{00000000-0010-0000-0000-00000C000000}" uniqueName="12" name="1987" queryTableFieldId="47"/>
    <tableColumn id="13" xr3:uid="{00000000-0010-0000-0000-00000D000000}" uniqueName="13" name="1988" queryTableFieldId="48"/>
    <tableColumn id="14" xr3:uid="{00000000-0010-0000-0000-00000E000000}" uniqueName="14" name="1989" queryTableFieldId="49"/>
    <tableColumn id="15" xr3:uid="{00000000-0010-0000-0000-00000F000000}" uniqueName="15" name="1990" queryTableFieldId="50"/>
    <tableColumn id="16" xr3:uid="{00000000-0010-0000-0000-000010000000}" uniqueName="16" name="1991" queryTableFieldId="51"/>
    <tableColumn id="17" xr3:uid="{00000000-0010-0000-0000-000011000000}" uniqueName="17" name="1992" queryTableFieldId="52"/>
    <tableColumn id="18" xr3:uid="{00000000-0010-0000-0000-000012000000}" uniqueName="18" name="1993" queryTableFieldId="53"/>
    <tableColumn id="19" xr3:uid="{00000000-0010-0000-0000-000013000000}" uniqueName="19" name="1994" queryTableFieldId="54"/>
    <tableColumn id="20" xr3:uid="{00000000-0010-0000-0000-000014000000}" uniqueName="20" name="1995" queryTableFieldId="55"/>
    <tableColumn id="21" xr3:uid="{00000000-0010-0000-0000-000015000000}" uniqueName="21" name="1996" queryTableFieldId="56"/>
    <tableColumn id="22" xr3:uid="{00000000-0010-0000-0000-000016000000}" uniqueName="22" name="1997" queryTableFieldId="57"/>
    <tableColumn id="23" xr3:uid="{00000000-0010-0000-0000-000017000000}" uniqueName="23" name="1998" queryTableFieldId="58"/>
    <tableColumn id="24" xr3:uid="{00000000-0010-0000-0000-000018000000}" uniqueName="24" name="1999" queryTableFieldId="59"/>
    <tableColumn id="25" xr3:uid="{00000000-0010-0000-0000-000019000000}" uniqueName="25" name="2000" queryTableFieldId="60"/>
    <tableColumn id="26" xr3:uid="{00000000-0010-0000-0000-00001A000000}" uniqueName="26" name="2001" queryTableFieldId="61"/>
    <tableColumn id="27" xr3:uid="{00000000-0010-0000-0000-00001B000000}" uniqueName="27" name="2002" queryTableFieldId="62"/>
    <tableColumn id="28" xr3:uid="{00000000-0010-0000-0000-00001C000000}" uniqueName="28" name="2003" queryTableFieldId="63"/>
    <tableColumn id="29" xr3:uid="{00000000-0010-0000-0000-00001D000000}" uniqueName="29" name="2004" queryTableFieldId="64"/>
    <tableColumn id="30" xr3:uid="{00000000-0010-0000-0000-00001E000000}" uniqueName="30" name="2005" queryTableFieldId="65"/>
    <tableColumn id="31" xr3:uid="{00000000-0010-0000-0000-00001F000000}" uniqueName="31" name="2006" queryTableFieldId="66"/>
    <tableColumn id="32" xr3:uid="{00000000-0010-0000-0000-000020000000}" uniqueName="32" name="2007" queryTableFieldId="67"/>
    <tableColumn id="33" xr3:uid="{00000000-0010-0000-0000-000021000000}" uniqueName="33" name="2008" queryTableFieldId="68"/>
    <tableColumn id="34" xr3:uid="{00000000-0010-0000-0000-000022000000}" uniqueName="34" name="2009" queryTableFieldId="69"/>
    <tableColumn id="35" xr3:uid="{00000000-0010-0000-0000-000023000000}" uniqueName="35" name="2010" queryTableFieldId="70"/>
    <tableColumn id="36" xr3:uid="{00000000-0010-0000-0000-000024000000}" uniqueName="36" name="2011" queryTableFieldId="71"/>
    <tableColumn id="37" xr3:uid="{00000000-0010-0000-0000-000025000000}" uniqueName="37" name="2012" queryTableFieldId="72"/>
    <tableColumn id="40" xr3:uid="{00000000-0010-0000-0000-000028000000}" uniqueName="40" name="2013" queryTableFieldId="77"/>
    <tableColumn id="41" xr3:uid="{00000000-0010-0000-0000-000029000000}" uniqueName="41" name="2014" queryTableFieldId="78"/>
    <tableColumn id="42" xr3:uid="{00000000-0010-0000-0000-00002A000000}" uniqueName="42" name="2015" queryTableFieldId="79"/>
    <tableColumn id="43" xr3:uid="{00000000-0010-0000-0000-00002B000000}" uniqueName="43" name="2016" queryTableFieldId="80"/>
    <tableColumn id="44" xr3:uid="{00000000-0010-0000-0000-00002C000000}" uniqueName="44" name="2017" queryTableFieldId="81"/>
    <tableColumn id="45" xr3:uid="{00000000-0010-0000-0000-00002D000000}" uniqueName="45" name="2018" queryTableFieldId="82"/>
    <tableColumn id="46" xr3:uid="{00000000-0010-0000-0000-00002E000000}" uniqueName="46" name="2019" queryTableFieldId="83"/>
    <tableColumn id="47" xr3:uid="{1A4D918E-B439-4591-90FF-8DAEFBF6ED2F}" uniqueName="47" name="2020" queryTableFieldId="84" dataDxfId="10"/>
    <tableColumn id="48" xr3:uid="{19DF7ACE-BEE3-4412-85B2-AFA822D22945}" uniqueName="48" name="2021" queryTableFieldId="85"/>
    <tableColumn id="49" xr3:uid="{B6D01C19-42C4-432B-BE7F-0056BE8C655E}" uniqueName="49" name="2022" queryTableFieldId="86"/>
    <tableColumn id="50" xr3:uid="{5325AF45-9A69-42AE-9917-391D304E0077}" uniqueName="50" name="2023" queryTableFieldId="8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_Abfrage_von_MS_Access_Database3" displayName="Tabelle_Abfrage_von_MS_Access_Database3" ref="A1:AX264" tableType="queryTable" totalsRowShown="0">
  <autoFilter ref="A1:AX264" xr:uid="{00000000-0009-0000-0100-000002000000}"/>
  <tableColumns count="50">
    <tableColumn id="1" xr3:uid="{00000000-0010-0000-0100-000001000000}" uniqueName="1" name="LAND" queryTableFieldId="1"/>
    <tableColumn id="2" xr3:uid="{00000000-0010-0000-0100-000002000000}" uniqueName="2" name="Partnerland" queryTableFieldId="2"/>
    <tableColumn id="38" xr3:uid="{00000000-0010-0000-0100-000026000000}" uniqueName="38" name="VON" queryTableFieldId="108"/>
    <tableColumn id="39" xr3:uid="{00000000-0010-0000-0100-000027000000}" uniqueName="39" name="BIS" queryTableFieldId="109"/>
    <tableColumn id="3" xr3:uid="{00000000-0010-0000-0100-000003000000}" uniqueName="3" name="1978" queryTableFieldId="73"/>
    <tableColumn id="4" xr3:uid="{00000000-0010-0000-0100-000004000000}" uniqueName="4" name="1979" queryTableFieldId="74"/>
    <tableColumn id="5" xr3:uid="{00000000-0010-0000-0100-000005000000}" uniqueName="5" name="1980" queryTableFieldId="75"/>
    <tableColumn id="6" xr3:uid="{00000000-0010-0000-0100-000006000000}" uniqueName="6" name="1981" queryTableFieldId="76"/>
    <tableColumn id="7" xr3:uid="{00000000-0010-0000-0100-000007000000}" uniqueName="7" name="1982" queryTableFieldId="77"/>
    <tableColumn id="8" xr3:uid="{00000000-0010-0000-0100-000008000000}" uniqueName="8" name="1983" queryTableFieldId="78"/>
    <tableColumn id="9" xr3:uid="{00000000-0010-0000-0100-000009000000}" uniqueName="9" name="1984" queryTableFieldId="79"/>
    <tableColumn id="10" xr3:uid="{00000000-0010-0000-0100-00000A000000}" uniqueName="10" name="1985" queryTableFieldId="80"/>
    <tableColumn id="11" xr3:uid="{00000000-0010-0000-0100-00000B000000}" uniqueName="11" name="1986" queryTableFieldId="81"/>
    <tableColumn id="12" xr3:uid="{00000000-0010-0000-0100-00000C000000}" uniqueName="12" name="1987" queryTableFieldId="82"/>
    <tableColumn id="13" xr3:uid="{00000000-0010-0000-0100-00000D000000}" uniqueName="13" name="1988" queryTableFieldId="83"/>
    <tableColumn id="14" xr3:uid="{00000000-0010-0000-0100-00000E000000}" uniqueName="14" name="1989" queryTableFieldId="84"/>
    <tableColumn id="15" xr3:uid="{00000000-0010-0000-0100-00000F000000}" uniqueName="15" name="1990" queryTableFieldId="85"/>
    <tableColumn id="16" xr3:uid="{00000000-0010-0000-0100-000010000000}" uniqueName="16" name="1991" queryTableFieldId="86"/>
    <tableColumn id="17" xr3:uid="{00000000-0010-0000-0100-000011000000}" uniqueName="17" name="1992" queryTableFieldId="87"/>
    <tableColumn id="18" xr3:uid="{00000000-0010-0000-0100-000012000000}" uniqueName="18" name="1993" queryTableFieldId="88"/>
    <tableColumn id="19" xr3:uid="{00000000-0010-0000-0100-000013000000}" uniqueName="19" name="1994" queryTableFieldId="89"/>
    <tableColumn id="20" xr3:uid="{00000000-0010-0000-0100-000014000000}" uniqueName="20" name="1995" queryTableFieldId="90"/>
    <tableColumn id="21" xr3:uid="{00000000-0010-0000-0100-000015000000}" uniqueName="21" name="1996" queryTableFieldId="91"/>
    <tableColumn id="22" xr3:uid="{00000000-0010-0000-0100-000016000000}" uniqueName="22" name="1997" queryTableFieldId="92"/>
    <tableColumn id="23" xr3:uid="{00000000-0010-0000-0100-000017000000}" uniqueName="23" name="1998" queryTableFieldId="93"/>
    <tableColumn id="24" xr3:uid="{00000000-0010-0000-0100-000018000000}" uniqueName="24" name="1999" queryTableFieldId="94"/>
    <tableColumn id="25" xr3:uid="{00000000-0010-0000-0100-000019000000}" uniqueName="25" name="2000" queryTableFieldId="95"/>
    <tableColumn id="26" xr3:uid="{00000000-0010-0000-0100-00001A000000}" uniqueName="26" name="2001" queryTableFieldId="96"/>
    <tableColumn id="27" xr3:uid="{00000000-0010-0000-0100-00001B000000}" uniqueName="27" name="2002" queryTableFieldId="97"/>
    <tableColumn id="28" xr3:uid="{00000000-0010-0000-0100-00001C000000}" uniqueName="28" name="2003" queryTableFieldId="98"/>
    <tableColumn id="29" xr3:uid="{00000000-0010-0000-0100-00001D000000}" uniqueName="29" name="2004" queryTableFieldId="99"/>
    <tableColumn id="30" xr3:uid="{00000000-0010-0000-0100-00001E000000}" uniqueName="30" name="2005" queryTableFieldId="100"/>
    <tableColumn id="31" xr3:uid="{00000000-0010-0000-0100-00001F000000}" uniqueName="31" name="2006" queryTableFieldId="101"/>
    <tableColumn id="32" xr3:uid="{00000000-0010-0000-0100-000020000000}" uniqueName="32" name="2007" queryTableFieldId="102"/>
    <tableColumn id="33" xr3:uid="{00000000-0010-0000-0100-000021000000}" uniqueName="33" name="2008" queryTableFieldId="103"/>
    <tableColumn id="34" xr3:uid="{00000000-0010-0000-0100-000022000000}" uniqueName="34" name="2009" queryTableFieldId="104"/>
    <tableColumn id="35" xr3:uid="{00000000-0010-0000-0100-000023000000}" uniqueName="35" name="2010" queryTableFieldId="105"/>
    <tableColumn id="36" xr3:uid="{00000000-0010-0000-0100-000024000000}" uniqueName="36" name="2011" queryTableFieldId="106"/>
    <tableColumn id="37" xr3:uid="{00000000-0010-0000-0100-000025000000}" uniqueName="37" name="2012" queryTableFieldId="107"/>
    <tableColumn id="40" xr3:uid="{00000000-0010-0000-0100-000028000000}" uniqueName="40" name="2013" queryTableFieldId="112"/>
    <tableColumn id="41" xr3:uid="{00000000-0010-0000-0100-000029000000}" uniqueName="41" name="2014" queryTableFieldId="113"/>
    <tableColumn id="42" xr3:uid="{00000000-0010-0000-0100-00002A000000}" uniqueName="42" name="2015" queryTableFieldId="114"/>
    <tableColumn id="43" xr3:uid="{00000000-0010-0000-0100-00002B000000}" uniqueName="43" name="2016" queryTableFieldId="115"/>
    <tableColumn id="44" xr3:uid="{00000000-0010-0000-0100-00002C000000}" uniqueName="44" name="2017" queryTableFieldId="116"/>
    <tableColumn id="45" xr3:uid="{00000000-0010-0000-0100-00002D000000}" uniqueName="45" name="2018" queryTableFieldId="117"/>
    <tableColumn id="46" xr3:uid="{00000000-0010-0000-0100-00002E000000}" uniqueName="46" name="2019" queryTableFieldId="118"/>
    <tableColumn id="47" xr3:uid="{4E2F6EFB-0762-4D42-B2FF-BF717E18997B}" uniqueName="47" name="2020" queryTableFieldId="119" dataDxfId="9"/>
    <tableColumn id="48" xr3:uid="{0CD0B78F-D377-4763-AF1A-5216E1EC8DE8}" uniqueName="48" name="2021" queryTableFieldId="120"/>
    <tableColumn id="49" xr3:uid="{6350565B-457E-48A0-90C7-0C9382E83ED1}" uniqueName="49" name="2022" queryTableFieldId="121"/>
    <tableColumn id="50" xr3:uid="{A88589FC-5D1D-4F21-853B-3F201328DCED}" uniqueName="50" name="2023" queryTableFieldId="12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_Abfrage_von_MS_Access_Database4" displayName="Tabelle_Abfrage_von_MS_Access_Database4" ref="A2:E259" tableType="queryTable" totalsRowShown="0">
  <autoFilter ref="A2:E259" xr:uid="{00000000-0009-0000-0100-000003000000}"/>
  <sortState xmlns:xlrd2="http://schemas.microsoft.com/office/spreadsheetml/2017/richdata2" ref="A3:E259">
    <sortCondition ref="B3:B259"/>
  </sortState>
  <tableColumns count="5">
    <tableColumn id="1" xr3:uid="{00000000-0010-0000-0200-000001000000}" uniqueName="1" name="LAND" queryTableFieldId="1"/>
    <tableColumn id="2" xr3:uid="{00000000-0010-0000-0200-000002000000}" uniqueName="2" name="Partnerland" queryTableFieldId="2"/>
    <tableColumn id="5" xr3:uid="{00000000-0010-0000-0200-000005000000}" uniqueName="5" name="Wert" queryTableFieldId="5" dataDxfId="8">
      <calculatedColumnFormula>VALUE(Tabelle_Abfrage_von_MS_Access_Database4[[#This Row],[LAND]])</calculatedColumnFormula>
    </tableColumn>
    <tableColumn id="3" xr3:uid="{00000000-0010-0000-0200-000003000000}" uniqueName="3" name="Spalte1" queryTableFieldId="3" dataDxfId="7"/>
    <tableColumn id="4" xr3:uid="{00000000-0010-0000-0200-000004000000}" uniqueName="4" name="Auswahl" queryTableFieldId="4" dataDxfId="6">
      <calculatedColumnFormula>LOOKUP(D3,Land_Wert,Tabelle_Abfrage_von_MS_Access_Database4[Partnerland])</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_Abfrage_von_MS_Access_Database_1" displayName="Tabelle_Abfrage_von_MS_Access_Database_1" ref="H2:J48" tableType="queryTable" totalsRowShown="0" headerRowDxfId="5">
  <autoFilter ref="H2:J48" xr:uid="{00000000-0009-0000-0100-000004000000}"/>
  <tableColumns count="3">
    <tableColumn id="1" xr3:uid="{00000000-0010-0000-0300-000001000000}" uniqueName="1" name="Jahr" queryTableFieldId="1" dataDxfId="4"/>
    <tableColumn id="3" xr3:uid="{00000000-0010-0000-0300-000003000000}" uniqueName="3" name="Status" queryTableFieldId="4" dataDxfId="3"/>
    <tableColumn id="2" xr3:uid="{00000000-0010-0000-0300-000002000000}" uniqueName="2" name="Auswahl" queryTableFieldId="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_Abfrage_von_MS_Access_Database_16" displayName="Tabelle_Abfrage_von_MS_Access_Database_16" ref="M2:O43" tableType="queryTable" totalsRowShown="0" headerRowDxfId="2">
  <autoFilter ref="M2:O43" xr:uid="{00000000-0009-0000-0100-000005000000}"/>
  <tableColumns count="3">
    <tableColumn id="1" xr3:uid="{00000000-0010-0000-0400-000001000000}" uniqueName="1" name="Jahr" queryTableFieldId="1" dataDxfId="1"/>
    <tableColumn id="3" xr3:uid="{00000000-0010-0000-0400-000003000000}" uniqueName="3" name="Status" queryTableFieldId="4" dataDxfId="0"/>
    <tableColumn id="2" xr3:uid="{00000000-0010-0000-0400-000002000000}" uniqueName="2" name="Auswahl" queryTableFieldId="2"/>
  </tableColumns>
  <tableStyleInfo name="TableStyleMedium9"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wrap="none" rtlCol="0"/>
      <a:lstStyle>
        <a:defPPr>
          <a:defRPr sz="800">
            <a:latin typeface="Calibri"/>
          </a:defRPr>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5" Type="http://schemas.openxmlformats.org/officeDocument/2006/relationships/image" Target="../media/image1.emf"/><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79"/>
  <sheetViews>
    <sheetView showGridLines="0" tabSelected="1" zoomScaleNormal="100" workbookViewId="0"/>
  </sheetViews>
  <sheetFormatPr baseColWidth="10" defaultRowHeight="12.5" x14ac:dyDescent="0.25"/>
  <cols>
    <col min="1" max="1" width="4.54296875" customWidth="1"/>
    <col min="2" max="2" width="21.54296875" customWidth="1"/>
    <col min="3" max="3" width="10.54296875" customWidth="1"/>
    <col min="4" max="4" width="16.54296875" customWidth="1"/>
    <col min="5" max="5" width="6.54296875" customWidth="1"/>
    <col min="6" max="6" width="12.54296875" customWidth="1"/>
    <col min="7" max="7" width="4.54296875" customWidth="1"/>
    <col min="8" max="8" width="21.54296875" customWidth="1"/>
    <col min="9" max="9" width="10.54296875" customWidth="1"/>
    <col min="10" max="10" width="16.54296875" bestFit="1" customWidth="1"/>
    <col min="11" max="11" width="6.54296875" customWidth="1"/>
    <col min="12" max="12" width="12.54296875" customWidth="1"/>
    <col min="15" max="15" width="6.453125" bestFit="1" customWidth="1"/>
    <col min="17" max="18" width="13.453125" customWidth="1"/>
  </cols>
  <sheetData>
    <row r="1" spans="1:18" ht="5.15" customHeight="1" x14ac:dyDescent="0.25">
      <c r="A1" s="43"/>
      <c r="B1" s="43"/>
      <c r="C1" s="43"/>
      <c r="D1" s="43"/>
      <c r="E1" s="43"/>
      <c r="F1" s="43"/>
      <c r="G1" s="43"/>
      <c r="H1" s="43"/>
      <c r="I1" s="43"/>
      <c r="J1" s="43"/>
      <c r="K1" s="43"/>
      <c r="L1" s="43"/>
      <c r="M1" s="8"/>
      <c r="N1" s="8"/>
      <c r="O1" s="8"/>
      <c r="P1" s="8"/>
      <c r="Q1" s="8"/>
      <c r="R1" s="9"/>
    </row>
    <row r="2" spans="1:18" ht="15.5" x14ac:dyDescent="0.35">
      <c r="A2" s="50" t="str">
        <f>Texte!F2</f>
        <v>Österreichs Außenhandel mit</v>
      </c>
      <c r="B2" s="42"/>
      <c r="C2" s="43"/>
      <c r="D2" s="43"/>
      <c r="E2" s="43"/>
      <c r="F2" s="75" t="str">
        <f>Texte!F5</f>
        <v>für das Jahr</v>
      </c>
      <c r="G2" s="75"/>
      <c r="H2" s="44">
        <f>Auswahl_Jahr</f>
        <v>2023</v>
      </c>
      <c r="I2" s="45" t="str">
        <f>Texte!F8</f>
        <v>Einheit:</v>
      </c>
      <c r="J2" s="46"/>
      <c r="K2" s="46" t="str">
        <f>IF(Texte!A1=2,"Imports","Import")</f>
        <v>Import</v>
      </c>
      <c r="L2" s="43"/>
    </row>
    <row r="3" spans="1:18" ht="13.5" x14ac:dyDescent="0.35">
      <c r="A3" s="63" t="str">
        <f ca="1">IF(Texte!A1=2,IF(AND(VALUE(VON)&lt;=Auswahl_Jahr,VALUE(BIS)&gt;=Auswahl_Jahr),"Time series from " &amp; VON &amp; " to " &amp; BIS &amp; "; " &amp; Dropdown!T8 &amp; " for the year " &amp; Auswahl_Jahr,"Time series from " &amp; VON &amp; " to " &amp; BIS),IF(AND(VALUE(VON)&lt;=Auswahl_Jahr,VALUE(BIS)&gt;=Auswahl_Jahr),"Zeitreihe verfügbar von " &amp; VON &amp; " bis " &amp; BIS &amp; "; " &amp; Dropdown!T8 &amp; " für das Jahr " &amp; Auswahl_Jahr,"Zeitreihe verfügbar von " &amp; VON &amp; " bis " &amp; BIS))</f>
        <v>Zeitreihe verfügbar von 1978 bis 2023; vorläufige Daten für das Jahr 2023</v>
      </c>
      <c r="B3" s="47"/>
      <c r="C3" s="48"/>
      <c r="D3" s="48"/>
      <c r="E3" s="48"/>
      <c r="F3" s="48"/>
      <c r="G3" s="48"/>
      <c r="H3" s="49"/>
      <c r="I3" s="48"/>
      <c r="J3" s="48"/>
      <c r="K3" s="48"/>
      <c r="L3" s="48"/>
    </row>
    <row r="4" spans="1:18" x14ac:dyDescent="0.25">
      <c r="A4" s="9"/>
      <c r="B4" s="9"/>
      <c r="C4" s="9"/>
      <c r="D4" s="9"/>
      <c r="E4" s="9"/>
      <c r="F4" s="9"/>
      <c r="G4" s="9"/>
      <c r="H4" s="9"/>
      <c r="I4" s="9"/>
      <c r="J4" s="9"/>
      <c r="K4" s="9"/>
      <c r="L4" s="9"/>
    </row>
    <row r="5" spans="1:18" ht="13.5" x14ac:dyDescent="0.35">
      <c r="A5" s="9"/>
      <c r="B5" s="22" t="str">
        <f>IF(Texte!A1=2,"Exports " &amp; Einheit_Text,"Export " &amp; Einheit_Text)</f>
        <v>Export in 1000 Euro</v>
      </c>
      <c r="C5" s="15">
        <f>LOOKUP(Dropdown!J3,Absolut_Grafik_1_2!2:2,Absolut_Grafik_1_2!3:3)</f>
        <v>58504110.906000003</v>
      </c>
      <c r="D5" s="15">
        <f>LOOKUP(Dropdown!J3,Absolut_Grafik_1_2!2:2,Absolut_Grafik_1_2!3:3)</f>
        <v>58504110.906000003</v>
      </c>
      <c r="E5" s="15"/>
      <c r="F5" s="23" t="str">
        <f>IF(Texte!A1=2,"Austria's exports to world " &amp; Einheit_Text,"Österreichs Exporte in die Welt " &amp; Einheit_Text)</f>
        <v>Österreichs Exporte in die Welt in 1000 Euro</v>
      </c>
      <c r="G5" s="23"/>
      <c r="H5" s="22"/>
      <c r="I5" s="15">
        <f>LOOKUP(Dropdown!J3,Absolut_Grafik_1_2!2:2,Absolut_Grafik_1_2!4:4)</f>
        <v>200546990.928</v>
      </c>
      <c r="J5" s="15">
        <f>LOOKUP(Dropdown!J3,Absolut_Grafik_1_2!2:2,Absolut_Grafik_1_2!4:4)</f>
        <v>200546990.928</v>
      </c>
      <c r="K5" s="15"/>
      <c r="L5" s="9"/>
      <c r="N5" s="64" t="str">
        <f>IF(Texte!A1=2,"Exports","Export")</f>
        <v>Export</v>
      </c>
    </row>
    <row r="6" spans="1:18" ht="13.5" x14ac:dyDescent="0.35">
      <c r="A6" s="9"/>
      <c r="B6" s="22" t="str">
        <f>IF(Texte!A1=2,"Imports " &amp; Einheit_Text,"Import " &amp; Einheit_Text)</f>
        <v>Import in 1000 Euro</v>
      </c>
      <c r="C6" s="15">
        <f>LOOKUP(Dropdown!J3,Absolut_Grafik_1_2!12:12,Absolut_Grafik_1_2!14:14)</f>
        <v>63848099.957000002</v>
      </c>
      <c r="D6" s="15">
        <f>LOOKUP(Dropdown!J3,Absolut_Grafik_1_2!12:12,Absolut_Grafik_1_2!14:14)</f>
        <v>63848099.957000002</v>
      </c>
      <c r="E6" s="15"/>
      <c r="F6" s="23" t="str">
        <f>IF(Texte!A1=2,"Austria's imports from world " &amp; Einheit_Text,"Österreichs Importe aus der Welt " &amp; Einheit_Text)</f>
        <v>Österreichs Importe aus der Welt in 1000 Euro</v>
      </c>
      <c r="G6" s="9"/>
      <c r="H6" s="22"/>
      <c r="I6" s="15">
        <f>LOOKUP(Dropdown!J3,Absolut_Grafik_1_2!12:12,Absolut_Grafik_1_2!15:15)</f>
        <v>201636635.37400001</v>
      </c>
      <c r="J6" s="15">
        <f>LOOKUP(Dropdown!J3,Absolut_Grafik_1_2!12:12,Absolut_Grafik_1_2!15:15)</f>
        <v>201636635.37400001</v>
      </c>
      <c r="K6" s="15"/>
      <c r="L6" s="9"/>
      <c r="N6" s="36"/>
    </row>
    <row r="7" spans="1:18" ht="13.5" x14ac:dyDescent="0.35">
      <c r="A7" s="51"/>
      <c r="B7" s="30" t="str">
        <f>IF(Texte!A1=2,IF(D7&gt;0,"Trade balance " &amp; Einheit_Text,IF(D7&lt;0,"Trade balance " &amp; Einheit_Text,"Trade balance " &amp; Einheit_Text)),IF(D7&gt;0,"Exportüberschuss " &amp; Einheit_Text,IF(D7&lt;0,"Importüberschuss " &amp; Einheit_Text,"Handelsbilanzsaldo " &amp; Einheit_Text)))</f>
        <v>Importüberschuss in 1000 Euro</v>
      </c>
      <c r="C7" s="21">
        <f>C5-C6</f>
        <v>-5343989.050999999</v>
      </c>
      <c r="D7" s="15">
        <f>D5-D6</f>
        <v>-5343989.050999999</v>
      </c>
      <c r="E7" s="21"/>
      <c r="F7" s="23" t="str">
        <f>IF(Texte!A1=2,IF(I7&gt;0,"Trade balance " &amp; Einheit_Text,IF(I7&lt;0,"Trade balance " &amp; Einheit_Text,"Trade balance " &amp; Einheit_Text)),IF(I7&gt;0,"Exportüberschuss " &amp; Einheit_Text,IF(I7&lt;0,"Importüberschuss " &amp; Einheit_Text,"Handelsbilanzsaldo " &amp; Einheit_Text)))</f>
        <v>Importüberschuss in 1000 Euro</v>
      </c>
      <c r="G7" s="9"/>
      <c r="H7" s="9"/>
      <c r="I7" s="21">
        <f>I5-I6</f>
        <v>-1089644.4460000098</v>
      </c>
      <c r="J7" s="15">
        <f>J5-J6</f>
        <v>-1089644.4460000098</v>
      </c>
      <c r="K7" s="21"/>
      <c r="L7" s="9"/>
    </row>
    <row r="8" spans="1:18" ht="13" x14ac:dyDescent="0.3">
      <c r="A8" s="9"/>
      <c r="B8" s="9"/>
      <c r="C8" s="9"/>
      <c r="D8" s="9"/>
      <c r="E8" s="9"/>
      <c r="F8" s="9"/>
      <c r="G8" s="9"/>
      <c r="H8" s="9"/>
      <c r="I8" s="9"/>
      <c r="J8" s="9"/>
      <c r="K8" s="9"/>
      <c r="L8" s="9"/>
      <c r="N8" s="36"/>
    </row>
    <row r="9" spans="1:18" x14ac:dyDescent="0.25">
      <c r="A9" s="9"/>
      <c r="B9" s="9"/>
      <c r="C9" s="9"/>
      <c r="D9" s="9"/>
      <c r="E9" s="9"/>
      <c r="F9" s="9"/>
      <c r="G9" s="9"/>
      <c r="H9" s="9"/>
      <c r="I9" s="9"/>
      <c r="J9" s="9"/>
      <c r="K9" s="9"/>
      <c r="L9" s="9"/>
    </row>
    <row r="10" spans="1:18" x14ac:dyDescent="0.25">
      <c r="A10" s="9"/>
      <c r="B10" s="9"/>
      <c r="C10" s="9"/>
      <c r="D10" s="9"/>
      <c r="E10" s="9"/>
      <c r="F10" s="9"/>
      <c r="G10" s="9"/>
      <c r="H10" s="9"/>
      <c r="I10" s="9"/>
      <c r="J10" s="9"/>
      <c r="K10" s="9"/>
      <c r="L10" s="9"/>
    </row>
    <row r="11" spans="1:18" x14ac:dyDescent="0.25">
      <c r="A11" s="9"/>
      <c r="B11" s="9"/>
      <c r="C11" s="9"/>
      <c r="D11" s="9"/>
      <c r="E11" s="9"/>
      <c r="F11" s="9"/>
      <c r="G11" s="9"/>
      <c r="H11" s="9"/>
      <c r="I11" s="9"/>
      <c r="J11" s="9"/>
      <c r="K11" s="9"/>
      <c r="L11" s="9"/>
    </row>
    <row r="12" spans="1:18" x14ac:dyDescent="0.25">
      <c r="A12" s="9"/>
      <c r="B12" s="9"/>
      <c r="C12" s="9"/>
      <c r="D12" s="9"/>
      <c r="E12" s="9"/>
      <c r="F12" s="9"/>
      <c r="G12" s="9"/>
      <c r="H12" s="9"/>
      <c r="I12" s="9"/>
      <c r="J12" s="9"/>
      <c r="K12" s="9"/>
      <c r="L12" s="9"/>
    </row>
    <row r="13" spans="1:18" x14ac:dyDescent="0.25">
      <c r="A13" s="9"/>
      <c r="B13" s="9"/>
      <c r="C13" s="9"/>
      <c r="D13" s="9"/>
      <c r="E13" s="9"/>
      <c r="F13" s="9"/>
      <c r="G13" s="9"/>
      <c r="H13" s="9"/>
      <c r="I13" s="9"/>
      <c r="J13" s="9"/>
      <c r="K13" s="9"/>
      <c r="L13" s="9"/>
    </row>
    <row r="14" spans="1:18" x14ac:dyDescent="0.25">
      <c r="A14" s="9"/>
      <c r="B14" s="9"/>
      <c r="C14" s="9"/>
      <c r="D14" s="9"/>
      <c r="E14" s="9"/>
      <c r="F14" s="9"/>
      <c r="G14" s="9"/>
      <c r="H14" s="9"/>
      <c r="I14" s="9"/>
      <c r="J14" s="9"/>
      <c r="K14" s="9"/>
      <c r="L14" s="9"/>
    </row>
    <row r="15" spans="1:18" x14ac:dyDescent="0.25">
      <c r="A15" s="9"/>
      <c r="B15" s="9"/>
      <c r="C15" s="9"/>
      <c r="D15" s="9"/>
      <c r="E15" s="9"/>
      <c r="F15" s="9"/>
      <c r="G15" s="9"/>
      <c r="H15" s="9"/>
      <c r="I15" s="9"/>
      <c r="J15" s="9"/>
      <c r="K15" s="9"/>
      <c r="L15" s="9"/>
    </row>
    <row r="16" spans="1:18" x14ac:dyDescent="0.25">
      <c r="A16" s="9"/>
      <c r="B16" s="9"/>
      <c r="C16" s="9"/>
      <c r="D16" s="9"/>
      <c r="E16" s="9"/>
      <c r="F16" s="9"/>
      <c r="G16" s="9"/>
      <c r="H16" s="9"/>
      <c r="I16" s="9"/>
      <c r="J16" s="9"/>
      <c r="K16" s="9"/>
      <c r="L16" s="9"/>
    </row>
    <row r="17" spans="1:12" x14ac:dyDescent="0.25">
      <c r="A17" s="9"/>
      <c r="B17" s="9"/>
      <c r="C17" s="9"/>
      <c r="D17" s="9"/>
      <c r="E17" s="9"/>
      <c r="F17" s="9"/>
      <c r="G17" s="9"/>
      <c r="H17" s="9"/>
      <c r="I17" s="9"/>
      <c r="J17" s="9"/>
      <c r="K17" s="9"/>
      <c r="L17" s="9"/>
    </row>
    <row r="18" spans="1:12" x14ac:dyDescent="0.25">
      <c r="A18" s="9"/>
      <c r="B18" s="9"/>
      <c r="C18" s="9"/>
      <c r="D18" s="9"/>
      <c r="E18" s="9"/>
      <c r="F18" s="9"/>
      <c r="G18" s="9"/>
      <c r="H18" s="9"/>
      <c r="I18" s="9"/>
      <c r="J18" s="9"/>
      <c r="K18" s="9"/>
      <c r="L18" s="9"/>
    </row>
    <row r="19" spans="1:12" x14ac:dyDescent="0.25">
      <c r="A19" s="9"/>
      <c r="B19" s="9"/>
      <c r="C19" s="9"/>
      <c r="D19" s="9"/>
      <c r="E19" s="9"/>
      <c r="F19" s="9"/>
      <c r="G19" s="9"/>
      <c r="H19" s="9"/>
      <c r="I19" s="9"/>
      <c r="J19" s="9"/>
      <c r="K19" s="9"/>
      <c r="L19" s="9"/>
    </row>
    <row r="20" spans="1:12" x14ac:dyDescent="0.25">
      <c r="A20" s="9"/>
      <c r="B20" s="9"/>
      <c r="C20" s="9"/>
      <c r="D20" s="9"/>
      <c r="E20" s="9"/>
      <c r="F20" s="9"/>
      <c r="G20" s="9"/>
      <c r="H20" s="9"/>
      <c r="I20" s="9"/>
      <c r="J20" s="9"/>
      <c r="K20" s="9"/>
      <c r="L20" s="9"/>
    </row>
    <row r="21" spans="1:12" x14ac:dyDescent="0.25">
      <c r="A21" s="9"/>
      <c r="B21" s="9"/>
      <c r="C21" s="9"/>
      <c r="D21" s="9"/>
      <c r="E21" s="9"/>
      <c r="F21" s="9"/>
      <c r="G21" s="9"/>
      <c r="H21" s="9"/>
      <c r="I21" s="9"/>
      <c r="J21" s="9"/>
      <c r="K21" s="9"/>
      <c r="L21" s="9"/>
    </row>
    <row r="22" spans="1:12" x14ac:dyDescent="0.25">
      <c r="A22" s="9"/>
      <c r="B22" s="9"/>
      <c r="C22" s="9"/>
      <c r="D22" s="9"/>
      <c r="E22" s="9"/>
      <c r="F22" s="9"/>
      <c r="G22" s="9"/>
      <c r="H22" s="9"/>
      <c r="I22" s="9"/>
      <c r="J22" s="9"/>
      <c r="K22" s="9"/>
      <c r="L22" s="9"/>
    </row>
    <row r="23" spans="1:12" x14ac:dyDescent="0.25">
      <c r="A23" s="9"/>
      <c r="B23" s="9"/>
      <c r="C23" s="9"/>
      <c r="D23" s="9"/>
      <c r="E23" s="9"/>
      <c r="F23" s="9"/>
      <c r="G23" s="9"/>
      <c r="H23" s="9"/>
      <c r="I23" s="9"/>
      <c r="J23" s="9"/>
      <c r="K23" s="9"/>
      <c r="L23" s="9"/>
    </row>
    <row r="24" spans="1:12" x14ac:dyDescent="0.25">
      <c r="A24" s="9"/>
      <c r="B24" s="9"/>
      <c r="C24" s="9"/>
      <c r="D24" s="9"/>
      <c r="E24" s="9"/>
      <c r="F24" s="9"/>
      <c r="G24" s="9"/>
      <c r="H24" s="9"/>
      <c r="I24" s="9"/>
      <c r="J24" s="9"/>
      <c r="K24" s="9"/>
      <c r="L24" s="9"/>
    </row>
    <row r="25" spans="1:12" x14ac:dyDescent="0.25">
      <c r="A25" s="9"/>
      <c r="B25" s="9"/>
      <c r="C25" s="9"/>
      <c r="D25" s="9"/>
      <c r="E25" s="9"/>
      <c r="F25" s="9"/>
      <c r="G25" s="9"/>
      <c r="H25" s="9"/>
      <c r="I25" s="9"/>
      <c r="J25" s="9"/>
      <c r="K25" s="9"/>
      <c r="L25" s="9"/>
    </row>
    <row r="26" spans="1:12" s="6" customFormat="1" ht="15" customHeight="1" x14ac:dyDescent="0.35">
      <c r="A26" s="14"/>
      <c r="B26" s="14"/>
      <c r="C26" s="14"/>
      <c r="D26" s="14"/>
      <c r="E26" s="31" t="str">
        <f>IF(Texte!A1=2,"Share (%)","Anteil (%)")</f>
        <v>Anteil (%)</v>
      </c>
      <c r="F26" s="31"/>
      <c r="G26" s="14"/>
      <c r="H26" s="14"/>
      <c r="I26" s="14"/>
      <c r="J26" s="14"/>
      <c r="K26" s="31" t="str">
        <f>IF(Texte!A1=2,"Share (%)","Anteil (%)")</f>
        <v>Anteil (%)</v>
      </c>
      <c r="L26" s="31"/>
    </row>
    <row r="27" spans="1:12" s="6" customFormat="1" ht="15.5" x14ac:dyDescent="0.35">
      <c r="A27" s="18" t="str">
        <f>IF(Texte!A1=2,"Most important export countries " &amp; Einheit_Text,"Die 10 wichtigsten Exportländer " &amp; Einheit_Text)</f>
        <v>Die 10 wichtigsten Exportländer in 1000 Euro</v>
      </c>
      <c r="B27" s="14"/>
      <c r="C27" s="14"/>
      <c r="D27" s="14"/>
      <c r="E27" s="31" t="str">
        <f>IF(Texte!A1=2,"of World","an Welt")</f>
        <v>an Welt</v>
      </c>
      <c r="F27" s="31" t="str">
        <f>IF(Texte!A1=2,"Trend","Entwicklung")</f>
        <v>Entwicklung</v>
      </c>
      <c r="G27" s="18" t="str">
        <f>IF(Texte!A1=2,"Most important import countries " &amp; Einheit_Text,"Die 10 wichtigsten Importländer " &amp; Einheit_Text)</f>
        <v>Die 10 wichtigsten Importländer in 1000 Euro</v>
      </c>
      <c r="H27" s="14"/>
      <c r="I27" s="14"/>
      <c r="J27" s="14"/>
      <c r="K27" s="31" t="str">
        <f>IF(Texte!A1=2,"of World","an Welt")</f>
        <v>an Welt</v>
      </c>
      <c r="L27" s="31" t="str">
        <f>IF(Texte!A1=2,"Trend","Entwicklung")</f>
        <v>Entwicklung</v>
      </c>
    </row>
    <row r="28" spans="1:12" s="6" customFormat="1" ht="13.5" x14ac:dyDescent="0.35">
      <c r="A28" s="54">
        <f>Top10_Export_Import!I3</f>
        <v>1</v>
      </c>
      <c r="B28" s="59" t="str">
        <f>Top10_Export_Import!J3</f>
        <v>Deutschland</v>
      </c>
      <c r="C28" s="60">
        <f>Top10_Export_Import!K3</f>
        <v>58504110.906000003</v>
      </c>
      <c r="D28" s="60">
        <f>C28</f>
        <v>58504110.906000003</v>
      </c>
      <c r="E28" s="61">
        <f>IF(Texte!$A$1=2,D28*1000/$I$5,D28*100/$I$5)</f>
        <v>29.172270616119111</v>
      </c>
      <c r="F28" s="60"/>
      <c r="G28" s="54">
        <f>Top10_Export_Import!I18</f>
        <v>1</v>
      </c>
      <c r="H28" s="62" t="str">
        <f>Top10_Export_Import!J18</f>
        <v>Deutschland</v>
      </c>
      <c r="I28" s="60">
        <f>Top10_Export_Import!K18</f>
        <v>63848099.957000002</v>
      </c>
      <c r="J28" s="60">
        <f>I28</f>
        <v>63848099.957000002</v>
      </c>
      <c r="K28" s="61">
        <f>IF(Texte!$A$1=2,J28*1000/$I$6,J28*100/$I$6)</f>
        <v>31.664930253658099</v>
      </c>
      <c r="L28" s="54"/>
    </row>
    <row r="29" spans="1:12" s="6" customFormat="1" ht="13.5" x14ac:dyDescent="0.35">
      <c r="A29" s="14">
        <f>Top10_Export_Import!I4</f>
        <v>2</v>
      </c>
      <c r="B29" s="23" t="str">
        <f>Top10_Export_Import!J4</f>
        <v>Vereinigte Staaten</v>
      </c>
      <c r="C29" s="15">
        <f>Top10_Export_Import!K4</f>
        <v>14743677.122</v>
      </c>
      <c r="D29" s="20">
        <f t="shared" ref="D29:D39" si="0">C29</f>
        <v>14743677.122</v>
      </c>
      <c r="E29" s="35">
        <f>IF(Texte!$A$1=2,D29*1000/$I$5,D29*100/$I$5)</f>
        <v>7.3517319077069807</v>
      </c>
      <c r="F29" s="20"/>
      <c r="G29" s="14">
        <f>Top10_Export_Import!I19</f>
        <v>2</v>
      </c>
      <c r="H29" s="24" t="str">
        <f>Top10_Export_Import!J19</f>
        <v>China</v>
      </c>
      <c r="I29" s="15">
        <f>Top10_Export_Import!K19</f>
        <v>15162034.346000001</v>
      </c>
      <c r="J29" s="20">
        <f t="shared" ref="J29:J39" si="1">I29</f>
        <v>15162034.346000001</v>
      </c>
      <c r="K29" s="35">
        <f>IF(Texte!$A$1=2,J29*1000/$I$6,J29*100/$I$6)</f>
        <v>7.5194839062242487</v>
      </c>
      <c r="L29" s="14"/>
    </row>
    <row r="30" spans="1:12" s="6" customFormat="1" ht="13.5" x14ac:dyDescent="0.35">
      <c r="A30" s="54">
        <f>Top10_Export_Import!I5</f>
        <v>3</v>
      </c>
      <c r="B30" s="59" t="str">
        <f>Top10_Export_Import!J5</f>
        <v>Italien</v>
      </c>
      <c r="C30" s="60">
        <f>Top10_Export_Import!K5</f>
        <v>12362221.392000001</v>
      </c>
      <c r="D30" s="60">
        <f t="shared" si="0"/>
        <v>12362221.392000001</v>
      </c>
      <c r="E30" s="61">
        <f>IF(Texte!$A$1=2,D30*1000/$I$5,D30*100/$I$5)</f>
        <v>6.16425174708219</v>
      </c>
      <c r="F30" s="60"/>
      <c r="G30" s="54">
        <f>Top10_Export_Import!I20</f>
        <v>3</v>
      </c>
      <c r="H30" s="62" t="str">
        <f>Top10_Export_Import!J20</f>
        <v>Italien</v>
      </c>
      <c r="I30" s="60">
        <f>Top10_Export_Import!K20</f>
        <v>12904760.889</v>
      </c>
      <c r="J30" s="60">
        <f t="shared" si="1"/>
        <v>12904760.889</v>
      </c>
      <c r="K30" s="61">
        <f>IF(Texte!$A$1=2,J30*1000/$I$6,J30*100/$I$6)</f>
        <v>6.4000080466845573</v>
      </c>
      <c r="L30" s="54"/>
    </row>
    <row r="31" spans="1:12" s="6" customFormat="1" ht="13.5" x14ac:dyDescent="0.35">
      <c r="A31" s="14">
        <f>Top10_Export_Import!I6</f>
        <v>4</v>
      </c>
      <c r="B31" s="23" t="str">
        <f>Top10_Export_Import!J6</f>
        <v>Schweiz</v>
      </c>
      <c r="C31" s="15">
        <f>Top10_Export_Import!K6</f>
        <v>9957421.1699999999</v>
      </c>
      <c r="D31" s="20">
        <f t="shared" si="0"/>
        <v>9957421.1699999999</v>
      </c>
      <c r="E31" s="35">
        <f>IF(Texte!$A$1=2,D31*1000/$I$5,D31*100/$I$5)</f>
        <v>4.9651311764507575</v>
      </c>
      <c r="F31" s="20"/>
      <c r="G31" s="14">
        <f>Top10_Export_Import!I21</f>
        <v>4</v>
      </c>
      <c r="H31" s="24" t="str">
        <f>Top10_Export_Import!J21</f>
        <v>Schweiz</v>
      </c>
      <c r="I31" s="15">
        <f>Top10_Export_Import!K21</f>
        <v>10276270.222999999</v>
      </c>
      <c r="J31" s="20">
        <f t="shared" si="1"/>
        <v>10276270.222999999</v>
      </c>
      <c r="K31" s="35">
        <f>IF(Texte!$A$1=2,J31*1000/$I$6,J31*100/$I$6)</f>
        <v>5.0964301224027819</v>
      </c>
      <c r="L31" s="14"/>
    </row>
    <row r="32" spans="1:12" s="6" customFormat="1" ht="13.5" x14ac:dyDescent="0.35">
      <c r="A32" s="54">
        <f>Top10_Export_Import!I7</f>
        <v>5</v>
      </c>
      <c r="B32" s="59" t="str">
        <f>Top10_Export_Import!J7</f>
        <v>Belgien</v>
      </c>
      <c r="C32" s="60">
        <f>Top10_Export_Import!K7</f>
        <v>7481609.9989999998</v>
      </c>
      <c r="D32" s="60">
        <f t="shared" si="0"/>
        <v>7481609.9989999998</v>
      </c>
      <c r="E32" s="61">
        <f>IF(Texte!$A$1=2,D32*1000/$I$5,D32*100/$I$5)</f>
        <v>3.7306019723257942</v>
      </c>
      <c r="F32" s="60"/>
      <c r="G32" s="54">
        <f>Top10_Export_Import!I22</f>
        <v>5</v>
      </c>
      <c r="H32" s="62" t="str">
        <f>Top10_Export_Import!J22</f>
        <v>Tschechische Republik</v>
      </c>
      <c r="I32" s="60">
        <f>Top10_Export_Import!K22</f>
        <v>8327011.9390000002</v>
      </c>
      <c r="J32" s="60">
        <f t="shared" si="1"/>
        <v>8327011.9390000002</v>
      </c>
      <c r="K32" s="61">
        <f>IF(Texte!$A$1=2,J32*1000/$I$6,J32*100/$I$6)</f>
        <v>4.1297118073582597</v>
      </c>
      <c r="L32" s="54"/>
    </row>
    <row r="33" spans="1:17" s="6" customFormat="1" ht="13.5" x14ac:dyDescent="0.35">
      <c r="A33" s="14">
        <f>Top10_Export_Import!I8</f>
        <v>6</v>
      </c>
      <c r="B33" s="23" t="str">
        <f>Top10_Export_Import!J8</f>
        <v>Polen</v>
      </c>
      <c r="C33" s="15">
        <f>Top10_Export_Import!K8</f>
        <v>7344730.8219999997</v>
      </c>
      <c r="D33" s="20">
        <f t="shared" si="0"/>
        <v>7344730.8219999997</v>
      </c>
      <c r="E33" s="35">
        <f>IF(Texte!$A$1=2,D33*1000/$I$5,D33*100/$I$5)</f>
        <v>3.6623490524656592</v>
      </c>
      <c r="F33" s="20"/>
      <c r="G33" s="14">
        <f>Top10_Export_Import!I23</f>
        <v>6</v>
      </c>
      <c r="H33" s="24" t="str">
        <f>Top10_Export_Import!J23</f>
        <v>Vereinigte Staaten</v>
      </c>
      <c r="I33" s="15">
        <f>Top10_Export_Import!K23</f>
        <v>7917107.6940000001</v>
      </c>
      <c r="J33" s="20">
        <f t="shared" si="1"/>
        <v>7917107.6940000001</v>
      </c>
      <c r="K33" s="35">
        <f>IF(Texte!$A$1=2,J33*1000/$I$6,J33*100/$I$6)</f>
        <v>3.9264232312323486</v>
      </c>
      <c r="L33" s="14"/>
    </row>
    <row r="34" spans="1:17" s="6" customFormat="1" ht="13.5" x14ac:dyDescent="0.35">
      <c r="A34" s="54">
        <f>Top10_Export_Import!I9</f>
        <v>7</v>
      </c>
      <c r="B34" s="59" t="str">
        <f>Top10_Export_Import!J9</f>
        <v>Ungarn</v>
      </c>
      <c r="C34" s="60">
        <f>Top10_Export_Import!K9</f>
        <v>7272093.6469999999</v>
      </c>
      <c r="D34" s="60">
        <f t="shared" si="0"/>
        <v>7272093.6469999999</v>
      </c>
      <c r="E34" s="61">
        <f>IF(Texte!$A$1=2,D34*1000/$I$5,D34*100/$I$5)</f>
        <v>3.6261295237338236</v>
      </c>
      <c r="F34" s="60"/>
      <c r="G34" s="54">
        <f>Top10_Export_Import!I24</f>
        <v>7</v>
      </c>
      <c r="H34" s="62" t="str">
        <f>Top10_Export_Import!J24</f>
        <v>Polen</v>
      </c>
      <c r="I34" s="60">
        <f>Top10_Export_Import!K24</f>
        <v>6646616.0930000003</v>
      </c>
      <c r="J34" s="60">
        <f t="shared" si="1"/>
        <v>6646616.0930000003</v>
      </c>
      <c r="K34" s="61">
        <f>IF(Texte!$A$1=2,J34*1000/$I$6,J34*100/$I$6)</f>
        <v>3.29633356590766</v>
      </c>
      <c r="L34" s="54"/>
    </row>
    <row r="35" spans="1:17" s="6" customFormat="1" ht="13.5" x14ac:dyDescent="0.35">
      <c r="A35" s="14">
        <f>Top10_Export_Import!I10</f>
        <v>8</v>
      </c>
      <c r="B35" s="23" t="str">
        <f>Top10_Export_Import!J10</f>
        <v>Frankreich</v>
      </c>
      <c r="C35" s="15">
        <f>Top10_Export_Import!K10</f>
        <v>7246652.2489999998</v>
      </c>
      <c r="D35" s="20">
        <f t="shared" si="0"/>
        <v>7246652.2489999998</v>
      </c>
      <c r="E35" s="35">
        <f>IF(Texte!$A$1=2,D35*1000/$I$5,D35*100/$I$5)</f>
        <v>3.6134435203775652</v>
      </c>
      <c r="F35" s="20"/>
      <c r="G35" s="14">
        <f>Top10_Export_Import!I25</f>
        <v>8</v>
      </c>
      <c r="H35" s="24" t="str">
        <f>Top10_Export_Import!J25</f>
        <v>Niederlande</v>
      </c>
      <c r="I35" s="15">
        <f>Top10_Export_Import!K25</f>
        <v>5493852.5520000001</v>
      </c>
      <c r="J35" s="20">
        <f t="shared" si="1"/>
        <v>5493852.5520000001</v>
      </c>
      <c r="K35" s="35">
        <f>IF(Texte!$A$1=2,J35*1000/$I$6,J35*100/$I$6)</f>
        <v>2.7246301456131139</v>
      </c>
      <c r="L35" s="14"/>
    </row>
    <row r="36" spans="1:17" s="6" customFormat="1" ht="13.5" x14ac:dyDescent="0.35">
      <c r="A36" s="54">
        <f>Top10_Export_Import!I11</f>
        <v>9</v>
      </c>
      <c r="B36" s="59" t="str">
        <f>Top10_Export_Import!J11</f>
        <v>Tschechische Republik</v>
      </c>
      <c r="C36" s="60">
        <f>Top10_Export_Import!K11</f>
        <v>7155615.4179999996</v>
      </c>
      <c r="D36" s="60">
        <f t="shared" si="0"/>
        <v>7155615.4179999996</v>
      </c>
      <c r="E36" s="61">
        <f>IF(Texte!$A$1=2,D36*1000/$I$5,D36*100/$I$5)</f>
        <v>3.5680492561311952</v>
      </c>
      <c r="F36" s="60"/>
      <c r="G36" s="54">
        <f>Top10_Export_Import!I26</f>
        <v>9</v>
      </c>
      <c r="H36" s="62" t="str">
        <f>Top10_Export_Import!J26</f>
        <v>Frankreich</v>
      </c>
      <c r="I36" s="60">
        <f>Top10_Export_Import!K26</f>
        <v>5320496.3669999996</v>
      </c>
      <c r="J36" s="60">
        <f t="shared" si="1"/>
        <v>5320496.3669999996</v>
      </c>
      <c r="K36" s="61">
        <f>IF(Texte!$A$1=2,J36*1000/$I$6,J36*100/$I$6)</f>
        <v>2.6386555980422046</v>
      </c>
      <c r="L36" s="54"/>
    </row>
    <row r="37" spans="1:17" s="6" customFormat="1" ht="13.5" x14ac:dyDescent="0.35">
      <c r="A37" s="14">
        <f>Top10_Export_Import!I12</f>
        <v>10</v>
      </c>
      <c r="B37" s="23" t="str">
        <f>Top10_Export_Import!J12</f>
        <v>Vereinigtes Königreich</v>
      </c>
      <c r="C37" s="15">
        <f>Top10_Export_Import!K12</f>
        <v>5447218.0889999997</v>
      </c>
      <c r="D37" s="20">
        <f t="shared" si="0"/>
        <v>5447218.0889999997</v>
      </c>
      <c r="E37" s="35">
        <f>IF(Texte!$A$1=2,D37*1000/$I$5,D37*100/$I$5)</f>
        <v>2.7161804142729071</v>
      </c>
      <c r="F37" s="20"/>
      <c r="G37" s="14">
        <f>Top10_Export_Import!I27</f>
        <v>10</v>
      </c>
      <c r="H37" s="24" t="str">
        <f>Top10_Export_Import!J27</f>
        <v>Ungarn</v>
      </c>
      <c r="I37" s="15">
        <f>Top10_Export_Import!K27</f>
        <v>5019084.5880000005</v>
      </c>
      <c r="J37" s="20">
        <f t="shared" si="1"/>
        <v>5019084.5880000005</v>
      </c>
      <c r="K37" s="35">
        <f>IF(Texte!$A$1=2,J37*1000/$I$6,J37*100/$I$6)</f>
        <v>2.4891729514780354</v>
      </c>
      <c r="L37" s="14"/>
    </row>
    <row r="38" spans="1:17" s="6" customFormat="1" ht="5.15" customHeight="1" x14ac:dyDescent="0.35">
      <c r="A38" s="14"/>
      <c r="B38" s="23"/>
      <c r="C38" s="15"/>
      <c r="D38" s="15"/>
      <c r="E38" s="35"/>
      <c r="F38" s="20"/>
      <c r="G38" s="14"/>
      <c r="H38" s="24"/>
      <c r="I38" s="15"/>
      <c r="J38" s="15"/>
      <c r="K38" s="35"/>
      <c r="L38" s="14"/>
    </row>
    <row r="39" spans="1:17" s="6" customFormat="1" ht="13.5" x14ac:dyDescent="0.35">
      <c r="A39" s="26">
        <f>Top10_Export_Import!I14</f>
        <v>1</v>
      </c>
      <c r="B39" s="25" t="str">
        <f>Top10_Export_Import!J14</f>
        <v>Deutschland</v>
      </c>
      <c r="C39" s="20">
        <f>Top10_Export_Import!K14</f>
        <v>58504110.906000003</v>
      </c>
      <c r="D39" s="20">
        <f t="shared" si="0"/>
        <v>58504110.906000003</v>
      </c>
      <c r="E39" s="35">
        <f>IF(Texte!$A$1=2,D39*1000/$I$5,D39*100/$I$5)</f>
        <v>29.172270616119111</v>
      </c>
      <c r="F39" s="20"/>
      <c r="G39" s="26">
        <f>Top10_Export_Import!I29</f>
        <v>1</v>
      </c>
      <c r="H39" s="27" t="str">
        <f>Top10_Export_Import!J29</f>
        <v>Deutschland</v>
      </c>
      <c r="I39" s="20">
        <f>Top10_Export_Import!K29</f>
        <v>63848099.957000002</v>
      </c>
      <c r="J39" s="20">
        <f t="shared" si="1"/>
        <v>63848099.957000002</v>
      </c>
      <c r="K39" s="35">
        <f>IF(Texte!$A$1=2,J39*1000/$I$6,J39*100/$I$6)</f>
        <v>31.664930253658099</v>
      </c>
      <c r="L39" s="52"/>
    </row>
    <row r="40" spans="1:17" s="6" customFormat="1" ht="13.5" x14ac:dyDescent="0.35">
      <c r="A40" s="14"/>
      <c r="B40" s="14"/>
      <c r="C40" s="14"/>
      <c r="D40" s="14"/>
      <c r="E40" s="14"/>
      <c r="F40" s="14"/>
      <c r="G40" s="14"/>
      <c r="H40" s="14"/>
      <c r="I40" s="14"/>
      <c r="J40" s="14"/>
      <c r="K40" s="14"/>
      <c r="L40" s="14"/>
      <c r="M40" s="14"/>
      <c r="N40" s="14"/>
      <c r="O40" s="14"/>
      <c r="P40" s="14"/>
      <c r="Q40" s="14"/>
    </row>
    <row r="41" spans="1:17" s="6" customFormat="1" ht="4.5" customHeight="1" x14ac:dyDescent="0.35">
      <c r="A41" s="54"/>
      <c r="B41" s="54"/>
      <c r="C41" s="54"/>
      <c r="D41" s="54"/>
      <c r="E41" s="54"/>
      <c r="F41" s="54"/>
      <c r="G41" s="54"/>
      <c r="H41" s="54"/>
      <c r="I41" s="54"/>
      <c r="J41" s="54"/>
      <c r="K41" s="54"/>
      <c r="L41" s="54"/>
      <c r="M41" s="14"/>
      <c r="N41" s="14"/>
      <c r="O41" s="14"/>
      <c r="P41" s="14"/>
      <c r="Q41" s="14"/>
    </row>
    <row r="42" spans="1:17" s="6" customFormat="1" ht="18" customHeight="1" x14ac:dyDescent="0.35">
      <c r="A42" s="54"/>
      <c r="B42" s="54"/>
      <c r="C42" s="54"/>
      <c r="D42" s="54"/>
      <c r="E42" s="54"/>
      <c r="F42" s="54"/>
      <c r="G42" s="54"/>
      <c r="H42" s="54"/>
      <c r="I42" s="54"/>
      <c r="J42" s="54"/>
      <c r="K42" s="54"/>
      <c r="L42" s="54"/>
      <c r="M42" s="14"/>
      <c r="N42" s="14"/>
      <c r="O42" s="14"/>
      <c r="P42" s="14"/>
      <c r="Q42" s="14"/>
    </row>
    <row r="43" spans="1:17" s="6" customFormat="1" ht="15" customHeight="1" x14ac:dyDescent="0.35">
      <c r="A43" s="76" t="str">
        <f>IF(Texte!$A$1=2,"Index - basis","Index Basisjahr")</f>
        <v>Index Basisjahr</v>
      </c>
      <c r="B43" s="76" t="s">
        <v>551</v>
      </c>
      <c r="C43" s="58">
        <f>Basis_Jahr</f>
        <v>2023</v>
      </c>
      <c r="D43" s="55" t="str">
        <f>"=100"</f>
        <v>=100</v>
      </c>
      <c r="E43" s="56"/>
      <c r="F43" s="57"/>
      <c r="G43" s="48"/>
      <c r="H43" s="57"/>
      <c r="I43" s="57"/>
      <c r="J43" s="57"/>
      <c r="K43" s="57"/>
      <c r="L43" s="57"/>
      <c r="M43" s="14"/>
      <c r="N43" s="14"/>
      <c r="O43" s="14"/>
      <c r="P43" s="14"/>
      <c r="Q43" s="14"/>
    </row>
    <row r="44" spans="1:17" s="6" customFormat="1" ht="15" customHeight="1" x14ac:dyDescent="0.35">
      <c r="A44" s="9"/>
      <c r="B44" s="9"/>
      <c r="C44" s="9"/>
      <c r="D44" s="9"/>
      <c r="E44" s="9"/>
      <c r="F44" s="9"/>
      <c r="G44" s="9"/>
      <c r="H44" s="14"/>
      <c r="I44" s="14"/>
      <c r="J44" s="14"/>
      <c r="K44" s="14"/>
      <c r="L44" s="14"/>
      <c r="M44" s="14"/>
      <c r="N44" s="14"/>
      <c r="O44" s="14"/>
      <c r="P44" s="14"/>
      <c r="Q44" s="14"/>
    </row>
    <row r="45" spans="1:17" s="6" customFormat="1" ht="13.5" x14ac:dyDescent="0.35">
      <c r="A45" s="9"/>
      <c r="B45" s="9"/>
      <c r="C45" s="9"/>
      <c r="D45" s="9"/>
      <c r="E45" s="9"/>
      <c r="F45" s="9"/>
      <c r="G45" s="9"/>
      <c r="H45" s="14"/>
      <c r="I45" s="14"/>
      <c r="J45" s="14"/>
      <c r="K45" s="14"/>
      <c r="L45" s="14"/>
      <c r="M45" s="14"/>
      <c r="N45" s="14"/>
      <c r="O45" s="14"/>
      <c r="P45" s="14"/>
      <c r="Q45" s="14"/>
    </row>
    <row r="46" spans="1:17" s="6" customFormat="1" ht="13.5" x14ac:dyDescent="0.35">
      <c r="A46" s="9"/>
      <c r="B46" s="9"/>
      <c r="C46" s="9"/>
      <c r="D46" s="9"/>
      <c r="E46" s="9"/>
      <c r="F46" s="9"/>
      <c r="G46" s="9"/>
      <c r="H46" s="14"/>
      <c r="I46" s="14"/>
      <c r="J46" s="14"/>
      <c r="K46" s="14"/>
      <c r="L46" s="14"/>
      <c r="M46" s="14"/>
      <c r="N46" s="14"/>
      <c r="O46" s="14"/>
      <c r="P46" s="14"/>
      <c r="Q46" s="14"/>
    </row>
    <row r="47" spans="1:17" x14ac:dyDescent="0.25">
      <c r="A47" s="9"/>
      <c r="B47" s="9"/>
      <c r="C47" s="9"/>
      <c r="D47" s="9"/>
      <c r="E47" s="9"/>
      <c r="F47" s="9"/>
      <c r="G47" s="9"/>
      <c r="H47" s="9"/>
      <c r="I47" s="9"/>
      <c r="J47" s="9"/>
      <c r="K47" s="9"/>
      <c r="L47" s="9"/>
    </row>
    <row r="48" spans="1:17" x14ac:dyDescent="0.25">
      <c r="A48" s="9"/>
      <c r="B48" s="9"/>
      <c r="C48" s="9"/>
      <c r="D48" s="9"/>
      <c r="E48" s="9"/>
      <c r="F48" s="9"/>
      <c r="G48" s="9"/>
      <c r="H48" s="9"/>
      <c r="I48" s="9"/>
      <c r="J48" s="9"/>
      <c r="K48" s="9"/>
      <c r="L48" s="9"/>
    </row>
    <row r="49" spans="1:12" x14ac:dyDescent="0.25">
      <c r="A49" s="9"/>
      <c r="B49" s="9"/>
      <c r="C49" s="9"/>
      <c r="D49" s="9"/>
      <c r="E49" s="9"/>
      <c r="F49" s="9"/>
      <c r="G49" s="9"/>
      <c r="H49" s="9"/>
      <c r="I49" s="9"/>
      <c r="J49" s="9"/>
      <c r="K49" s="9"/>
      <c r="L49" s="9"/>
    </row>
    <row r="50" spans="1:12" x14ac:dyDescent="0.25">
      <c r="A50" s="9"/>
      <c r="B50" s="9"/>
      <c r="C50" s="9"/>
      <c r="D50" s="9"/>
      <c r="E50" s="9"/>
      <c r="F50" s="9"/>
      <c r="G50" s="9"/>
      <c r="H50" s="9"/>
      <c r="I50" s="9"/>
      <c r="J50" s="9"/>
      <c r="K50" s="9"/>
      <c r="L50" s="9"/>
    </row>
    <row r="51" spans="1:12" x14ac:dyDescent="0.25">
      <c r="A51" s="9"/>
      <c r="B51" s="9"/>
      <c r="C51" s="9"/>
      <c r="D51" s="9"/>
      <c r="E51" s="9"/>
      <c r="F51" s="9"/>
      <c r="G51" s="9"/>
      <c r="H51" s="9"/>
      <c r="I51" s="9"/>
      <c r="J51" s="9"/>
      <c r="K51" s="9"/>
      <c r="L51" s="9"/>
    </row>
    <row r="52" spans="1:12" x14ac:dyDescent="0.25">
      <c r="A52" s="9"/>
      <c r="B52" s="9"/>
      <c r="C52" s="9"/>
      <c r="D52" s="9"/>
      <c r="E52" s="9"/>
      <c r="F52" s="9"/>
      <c r="G52" s="9"/>
      <c r="H52" s="9"/>
      <c r="I52" s="9"/>
      <c r="J52" s="9"/>
      <c r="K52" s="9"/>
      <c r="L52" s="9"/>
    </row>
    <row r="53" spans="1:12" x14ac:dyDescent="0.25">
      <c r="A53" s="9"/>
      <c r="B53" s="9"/>
      <c r="C53" s="9"/>
      <c r="D53" s="9"/>
      <c r="E53" s="9"/>
      <c r="F53" s="9"/>
      <c r="G53" s="9"/>
      <c r="H53" s="9"/>
      <c r="I53" s="9"/>
      <c r="J53" s="9"/>
      <c r="K53" s="9"/>
      <c r="L53" s="9"/>
    </row>
    <row r="54" spans="1:12" x14ac:dyDescent="0.25">
      <c r="A54" s="9"/>
      <c r="B54" s="9"/>
      <c r="C54" s="9"/>
      <c r="D54" s="9"/>
      <c r="E54" s="9"/>
      <c r="F54" s="9"/>
      <c r="G54" s="9"/>
      <c r="H54" s="9"/>
      <c r="I54" s="9"/>
      <c r="J54" s="9"/>
      <c r="K54" s="9"/>
      <c r="L54" s="9"/>
    </row>
    <row r="55" spans="1:12" x14ac:dyDescent="0.25">
      <c r="A55" s="9"/>
      <c r="B55" s="9"/>
      <c r="C55" s="9"/>
      <c r="D55" s="9"/>
      <c r="E55" s="9"/>
      <c r="F55" s="9"/>
      <c r="G55" s="9"/>
      <c r="H55" s="9"/>
      <c r="I55" s="9"/>
      <c r="J55" s="9"/>
      <c r="K55" s="9"/>
      <c r="L55" s="9"/>
    </row>
    <row r="56" spans="1:12" x14ac:dyDescent="0.25">
      <c r="A56" s="9"/>
      <c r="B56" s="9"/>
      <c r="C56" s="9"/>
      <c r="D56" s="9"/>
      <c r="E56" s="9"/>
      <c r="F56" s="9"/>
      <c r="G56" s="9"/>
      <c r="H56" s="9"/>
      <c r="I56" s="9"/>
      <c r="J56" s="9"/>
      <c r="K56" s="9"/>
      <c r="L56" s="9"/>
    </row>
    <row r="57" spans="1:12" x14ac:dyDescent="0.25">
      <c r="A57" s="9"/>
      <c r="B57" s="9"/>
      <c r="C57" s="9"/>
      <c r="D57" s="9"/>
      <c r="E57" s="9"/>
      <c r="F57" s="9"/>
      <c r="G57" s="9"/>
      <c r="H57" s="9"/>
      <c r="I57" s="9"/>
      <c r="J57" s="9"/>
      <c r="K57" s="9"/>
      <c r="L57" s="9"/>
    </row>
    <row r="58" spans="1:12" x14ac:dyDescent="0.25">
      <c r="A58" s="9"/>
      <c r="B58" s="9"/>
      <c r="C58" s="9"/>
      <c r="D58" s="9"/>
      <c r="E58" s="9"/>
      <c r="F58" s="9"/>
      <c r="G58" s="9"/>
      <c r="H58" s="9"/>
      <c r="I58" s="9"/>
      <c r="J58" s="9"/>
      <c r="K58" s="9"/>
      <c r="L58" s="9"/>
    </row>
    <row r="59" spans="1:12" x14ac:dyDescent="0.25">
      <c r="A59" s="9"/>
      <c r="B59" s="9"/>
      <c r="C59" s="9"/>
      <c r="D59" s="9"/>
      <c r="E59" s="9"/>
      <c r="F59" s="9"/>
      <c r="G59" s="9"/>
      <c r="H59" s="9"/>
      <c r="I59" s="9"/>
      <c r="J59" s="9"/>
      <c r="K59" s="9"/>
      <c r="L59" s="9"/>
    </row>
    <row r="60" spans="1:12" x14ac:dyDescent="0.25">
      <c r="A60" s="9"/>
      <c r="B60" s="9"/>
      <c r="C60" s="9"/>
      <c r="D60" s="9"/>
      <c r="E60" s="9"/>
      <c r="F60" s="9"/>
      <c r="G60" s="9"/>
      <c r="H60" s="9"/>
      <c r="I60" s="9"/>
      <c r="J60" s="9"/>
      <c r="K60" s="9"/>
      <c r="L60" s="9"/>
    </row>
    <row r="61" spans="1:12" x14ac:dyDescent="0.25">
      <c r="A61" s="9"/>
      <c r="B61" s="9"/>
      <c r="C61" s="9"/>
      <c r="D61" s="9"/>
      <c r="E61" s="9"/>
      <c r="F61" s="9"/>
      <c r="G61" s="9"/>
      <c r="H61" s="9"/>
      <c r="I61" s="9"/>
      <c r="J61" s="9"/>
      <c r="K61" s="9"/>
      <c r="L61" s="9"/>
    </row>
    <row r="62" spans="1:12" x14ac:dyDescent="0.25">
      <c r="A62" s="9"/>
      <c r="B62" s="9"/>
      <c r="C62" s="9"/>
      <c r="D62" s="9"/>
      <c r="E62" s="9"/>
      <c r="F62" s="9"/>
      <c r="G62" s="9"/>
      <c r="H62" s="9"/>
      <c r="I62" s="9"/>
      <c r="J62" s="9"/>
      <c r="K62" s="9"/>
      <c r="L62" s="9"/>
    </row>
    <row r="63" spans="1:12" x14ac:dyDescent="0.25">
      <c r="A63" s="9"/>
      <c r="B63" s="9"/>
      <c r="C63" s="9"/>
      <c r="D63" s="9"/>
      <c r="E63" s="9"/>
      <c r="F63" s="9"/>
      <c r="G63" s="9"/>
      <c r="H63" s="9"/>
      <c r="I63" s="9"/>
      <c r="J63" s="9"/>
      <c r="K63" s="9"/>
      <c r="L63" s="9"/>
    </row>
    <row r="64" spans="1:12" ht="13.5" x14ac:dyDescent="0.35">
      <c r="A64" s="9"/>
      <c r="B64" s="14"/>
      <c r="C64" s="9"/>
      <c r="D64" s="14"/>
      <c r="E64" s="9"/>
      <c r="F64" s="9"/>
      <c r="G64" s="9"/>
      <c r="H64" s="9"/>
      <c r="I64" s="9"/>
      <c r="J64" s="9"/>
      <c r="K64" s="9"/>
      <c r="L64" s="9"/>
    </row>
    <row r="65" spans="1:12" x14ac:dyDescent="0.25">
      <c r="A65" s="9"/>
      <c r="B65" s="9"/>
      <c r="C65" s="9"/>
      <c r="D65" s="9"/>
      <c r="E65" s="9"/>
      <c r="F65" s="9"/>
      <c r="G65" s="9"/>
      <c r="H65" s="9"/>
      <c r="I65" s="9"/>
      <c r="J65" s="9"/>
      <c r="K65" s="9"/>
      <c r="L65" s="9"/>
    </row>
    <row r="66" spans="1:12" ht="13.5" x14ac:dyDescent="0.35">
      <c r="A66" s="51" t="str">
        <f>IF(Texte!A1=2,"Source: Statistics Austria (Foreign Trade Statistics)","Quelle: Statistik Austria (Außenhandelsstatistik)")</f>
        <v>Quelle: Statistik Austria (Außenhandelsstatistik)</v>
      </c>
      <c r="B66" s="14"/>
      <c r="C66" s="14"/>
      <c r="D66" s="14"/>
      <c r="E66" s="14"/>
      <c r="F66" s="14"/>
      <c r="G66" s="14"/>
      <c r="H66" s="9"/>
      <c r="I66" s="9"/>
      <c r="J66" s="9"/>
      <c r="K66" s="9"/>
      <c r="L66" s="9"/>
    </row>
    <row r="67" spans="1:12" ht="13.5" x14ac:dyDescent="0.35">
      <c r="A67" s="14"/>
      <c r="B67" s="14"/>
      <c r="C67" s="14"/>
      <c r="D67" s="14"/>
      <c r="E67" s="14"/>
      <c r="F67" s="14"/>
      <c r="G67" s="14"/>
      <c r="H67" s="9"/>
      <c r="I67" s="9"/>
      <c r="J67" s="9"/>
      <c r="K67" s="9"/>
      <c r="L67" s="9"/>
    </row>
    <row r="68" spans="1:12" ht="13.5" x14ac:dyDescent="0.35">
      <c r="A68" s="53" t="str">
        <f>Metadata1</f>
        <v>Information zum Außenhandel Österreichs:</v>
      </c>
      <c r="B68" s="14"/>
      <c r="C68" s="14"/>
      <c r="D68" s="14"/>
      <c r="E68" s="14"/>
      <c r="F68" s="14"/>
      <c r="G68" s="14"/>
      <c r="H68" s="9"/>
      <c r="I68" s="9"/>
      <c r="J68" s="9"/>
      <c r="K68" s="9"/>
      <c r="L68" s="9"/>
    </row>
    <row r="69" spans="1:12" ht="13.5" x14ac:dyDescent="0.35">
      <c r="A69" s="14" t="str">
        <f>Metadata2</f>
        <v>Gegenstand der Außenhandelsstatistik Österreichs ist der grenzüberschreitende Warenverkehr des Erhebungsgebietes mit dem Ausland. Ausland im Sinne der</v>
      </c>
      <c r="B69" s="14"/>
      <c r="C69" s="14"/>
      <c r="D69" s="14"/>
      <c r="E69" s="14"/>
      <c r="F69" s="14"/>
      <c r="G69" s="14"/>
      <c r="H69" s="9"/>
      <c r="I69" s="9"/>
      <c r="J69" s="9"/>
      <c r="K69" s="9"/>
      <c r="L69" s="9"/>
    </row>
    <row r="70" spans="1:12" ht="13.5" x14ac:dyDescent="0.35">
      <c r="A70" s="14" t="str">
        <f>Metadata3</f>
        <v>Außenhandelsstatistik ist das Gebiet außerhalb des Erhebungsgebietes.</v>
      </c>
      <c r="B70" s="14"/>
      <c r="C70" s="14"/>
      <c r="D70" s="14"/>
      <c r="E70" s="14"/>
      <c r="F70" s="14"/>
      <c r="G70" s="14"/>
      <c r="H70" s="9"/>
      <c r="I70" s="9"/>
      <c r="J70" s="9"/>
      <c r="K70" s="9"/>
      <c r="L70" s="9"/>
    </row>
    <row r="71" spans="1:12" ht="13.5" x14ac:dyDescent="0.35">
      <c r="A71" s="14" t="str">
        <f>Metadata4</f>
        <v>Ab 1995 werden aufgrund unterschiedlicher Erhebungssysteme zwischen Warenverkehren mit Mitgliedstaaten der Europäischen Union (Intrahandel) und Waren-</v>
      </c>
      <c r="B71" s="14"/>
      <c r="C71" s="14"/>
      <c r="D71" s="14"/>
      <c r="E71" s="14"/>
      <c r="F71" s="14"/>
      <c r="G71" s="14"/>
      <c r="H71" s="9"/>
      <c r="I71" s="9"/>
      <c r="J71" s="9"/>
      <c r="K71" s="9"/>
      <c r="L71" s="9"/>
    </row>
    <row r="72" spans="1:12" ht="13.5" x14ac:dyDescent="0.35">
      <c r="A72" s="14" t="str">
        <f>Metadata5</f>
        <v>verkehren mit den übrigen Staaten (Extrahandel) unterschieden. Die statistische Erfassung des Handels mit den EU Mitgliedstaaten erfolgt seit diesem Zeitpunkt durch</v>
      </c>
      <c r="B72" s="14"/>
      <c r="C72" s="14"/>
      <c r="D72" s="14"/>
      <c r="E72" s="14"/>
      <c r="F72" s="14"/>
      <c r="G72" s="14"/>
      <c r="H72" s="9"/>
      <c r="I72" s="9"/>
      <c r="J72" s="9"/>
      <c r="K72" s="9"/>
      <c r="L72" s="9"/>
    </row>
    <row r="73" spans="1:12" ht="13.5" x14ac:dyDescent="0.35">
      <c r="A73" s="14" t="str">
        <f>Metadata6</f>
        <v>das Primärerhebungssystem INTRASTAT, während jene des Handels mit den Drittstaaten (EXTRASTAT) weiterhin im Rahmen des Zollverfahrens erfolgt.</v>
      </c>
      <c r="B73" s="14"/>
      <c r="C73" s="14"/>
      <c r="D73" s="14"/>
      <c r="E73" s="14"/>
      <c r="F73" s="14"/>
      <c r="G73" s="14"/>
      <c r="H73" s="9"/>
      <c r="I73" s="9"/>
      <c r="J73" s="9"/>
      <c r="K73" s="9"/>
      <c r="L73" s="9"/>
    </row>
    <row r="74" spans="1:12" ht="13.5" x14ac:dyDescent="0.35">
      <c r="A74" s="14"/>
      <c r="B74" s="14"/>
      <c r="C74" s="14"/>
      <c r="D74" s="14"/>
      <c r="E74" s="14"/>
      <c r="F74" s="14"/>
      <c r="G74" s="14"/>
      <c r="H74" s="9"/>
      <c r="I74" s="9"/>
      <c r="J74" s="9"/>
      <c r="K74" s="9"/>
      <c r="L74" s="9"/>
    </row>
    <row r="75" spans="1:12" ht="13.5" x14ac:dyDescent="0.35">
      <c r="A75" s="14"/>
      <c r="B75" s="14"/>
      <c r="C75" s="14"/>
      <c r="D75" s="14"/>
      <c r="E75" s="14"/>
      <c r="F75" s="14"/>
      <c r="G75" s="14"/>
      <c r="H75" s="9"/>
      <c r="I75" s="9"/>
      <c r="J75" s="9"/>
      <c r="K75" s="9"/>
      <c r="L75" s="9"/>
    </row>
    <row r="76" spans="1:12" ht="13.5" x14ac:dyDescent="0.35">
      <c r="A76" s="14"/>
      <c r="B76" s="14"/>
      <c r="C76" s="14"/>
      <c r="D76" s="14"/>
      <c r="E76" s="14"/>
      <c r="F76" s="14"/>
      <c r="G76" s="14"/>
      <c r="H76" s="9"/>
      <c r="I76" s="9"/>
      <c r="J76" s="9"/>
      <c r="K76" s="9"/>
      <c r="L76" s="9"/>
    </row>
    <row r="77" spans="1:12" ht="13.5" x14ac:dyDescent="0.35">
      <c r="A77" s="14"/>
      <c r="B77" s="14"/>
      <c r="C77" s="14"/>
      <c r="D77" s="14"/>
      <c r="E77" s="14"/>
      <c r="F77" s="14"/>
      <c r="G77" s="14"/>
      <c r="H77" s="9"/>
      <c r="I77" s="9"/>
      <c r="J77" s="9"/>
      <c r="K77" s="9"/>
      <c r="L77" s="9"/>
    </row>
    <row r="78" spans="1:12" ht="13.5" x14ac:dyDescent="0.35">
      <c r="A78" s="14"/>
      <c r="B78" s="14"/>
      <c r="C78" s="14"/>
      <c r="D78" s="14"/>
      <c r="E78" s="14"/>
      <c r="F78" s="14"/>
      <c r="G78" s="14"/>
      <c r="H78" s="9"/>
      <c r="I78" s="9"/>
      <c r="J78" s="9"/>
      <c r="K78" s="9"/>
      <c r="L78" s="9"/>
    </row>
    <row r="79" spans="1:12" ht="13.5" x14ac:dyDescent="0.35">
      <c r="A79" s="14"/>
      <c r="B79" s="14"/>
      <c r="C79" s="14"/>
      <c r="D79" s="14"/>
      <c r="E79" s="14"/>
      <c r="F79" s="14"/>
      <c r="G79" s="14"/>
      <c r="H79" s="9"/>
      <c r="I79" s="9"/>
      <c r="J79" s="9"/>
      <c r="K79" s="9"/>
      <c r="L79" s="9"/>
    </row>
  </sheetData>
  <sheetProtection algorithmName="SHA-512" hashValue="upIJXN84bOJBPPcTbr0XnpIb5+AcVezd3dD7RvBBIdBPvTRe6h3yhOErtmkXazypb5lJkmMkAbsftVAJ8ayXPw==" saltValue="x01ipc1v4HqM4OEkMFNQ+Q==" spinCount="100000" sheet="1" objects="1" scenarios="1"/>
  <mergeCells count="2">
    <mergeCell ref="F2:G2"/>
    <mergeCell ref="A43:B43"/>
  </mergeCells>
  <conditionalFormatting sqref="C28:C39">
    <cfRule type="dataBar" priority="210">
      <dataBar showValue="0">
        <cfvo type="min"/>
        <cfvo type="max"/>
        <color rgb="FFE20613"/>
      </dataBar>
      <extLst>
        <ext xmlns:x14="http://schemas.microsoft.com/office/spreadsheetml/2009/9/main" uri="{B025F937-C7B1-47D3-B67F-A62EFF666E3E}">
          <x14:id>{E189AC05-A8EC-425C-A579-A8DE3548D919}</x14:id>
        </ext>
      </extLst>
    </cfRule>
  </conditionalFormatting>
  <conditionalFormatting sqref="I28:I39">
    <cfRule type="dataBar" priority="206">
      <dataBar showValue="0">
        <cfvo type="min"/>
        <cfvo type="max"/>
        <color rgb="FF666666"/>
      </dataBar>
      <extLst>
        <ext xmlns:x14="http://schemas.microsoft.com/office/spreadsheetml/2009/9/main" uri="{B025F937-C7B1-47D3-B67F-A62EFF666E3E}">
          <x14:id>{EF18905C-1292-40F7-A83B-6374AB0EF201}</x14:id>
        </ext>
      </extLst>
    </cfRule>
  </conditionalFormatting>
  <conditionalFormatting sqref="E5:E7">
    <cfRule type="dataBar" priority="203">
      <dataBar showValue="0">
        <cfvo type="min"/>
        <cfvo type="max"/>
        <color rgb="FF92D050"/>
      </dataBar>
      <extLst>
        <ext xmlns:x14="http://schemas.microsoft.com/office/spreadsheetml/2009/9/main" uri="{B025F937-C7B1-47D3-B67F-A62EFF666E3E}">
          <x14:id>{3A23F73E-B5E7-4618-A444-B79779C967D4}</x14:id>
        </ext>
      </extLst>
    </cfRule>
  </conditionalFormatting>
  <conditionalFormatting sqref="E5:E6">
    <cfRule type="dataBar" priority="202">
      <dataBar showValue="0">
        <cfvo type="min"/>
        <cfvo type="max"/>
        <color rgb="FF638EC6"/>
      </dataBar>
      <extLst>
        <ext xmlns:x14="http://schemas.microsoft.com/office/spreadsheetml/2009/9/main" uri="{B025F937-C7B1-47D3-B67F-A62EFF666E3E}">
          <x14:id>{EBDCA807-FAA0-4878-A0E8-CDEB085BED01}</x14:id>
        </ext>
      </extLst>
    </cfRule>
  </conditionalFormatting>
  <conditionalFormatting sqref="E7">
    <cfRule type="iconSet" priority="201">
      <iconSet iconSet="3Arrows" showValue="0">
        <cfvo type="percent" val="0"/>
        <cfvo type="num" val="0"/>
        <cfvo type="num" val="0"/>
      </iconSet>
    </cfRule>
  </conditionalFormatting>
  <conditionalFormatting sqref="K5:K7">
    <cfRule type="dataBar" priority="200">
      <dataBar showValue="0">
        <cfvo type="min"/>
        <cfvo type="max"/>
        <color rgb="FF92D050"/>
      </dataBar>
      <extLst>
        <ext xmlns:x14="http://schemas.microsoft.com/office/spreadsheetml/2009/9/main" uri="{B025F937-C7B1-47D3-B67F-A62EFF666E3E}">
          <x14:id>{FB9033B5-0304-4ED1-B192-46EABD9AF46F}</x14:id>
        </ext>
      </extLst>
    </cfRule>
  </conditionalFormatting>
  <conditionalFormatting sqref="K5:K6">
    <cfRule type="dataBar" priority="199">
      <dataBar showValue="0">
        <cfvo type="min"/>
        <cfvo type="max"/>
        <color rgb="FF638EC6"/>
      </dataBar>
      <extLst>
        <ext xmlns:x14="http://schemas.microsoft.com/office/spreadsheetml/2009/9/main" uri="{B025F937-C7B1-47D3-B67F-A62EFF666E3E}">
          <x14:id>{F7E84E57-4017-4CF2-952D-5611C2DBDEFA}</x14:id>
        </ext>
      </extLst>
    </cfRule>
  </conditionalFormatting>
  <conditionalFormatting sqref="K7">
    <cfRule type="iconSet" priority="198">
      <iconSet iconSet="3Arrows" showValue="0">
        <cfvo type="percent" val="0"/>
        <cfvo type="num" val="0"/>
        <cfvo type="num" val="0"/>
      </iconSet>
    </cfRule>
  </conditionalFormatting>
  <conditionalFormatting sqref="C5:C7 I5:I7">
    <cfRule type="dataBar" priority="196">
      <dataBar showValue="0">
        <cfvo type="min"/>
        <cfvo type="max"/>
        <color rgb="FFE20613"/>
      </dataBar>
      <extLst>
        <ext xmlns:x14="http://schemas.microsoft.com/office/spreadsheetml/2009/9/main" uri="{B025F937-C7B1-47D3-B67F-A62EFF666E3E}">
          <x14:id>{17E852A3-315C-4726-BE95-A82E4F563B7D}</x14:id>
        </ext>
      </extLst>
    </cfRule>
  </conditionalFormatting>
  <conditionalFormatting sqref="A3">
    <cfRule type="containsText" dxfId="173" priority="4" operator="containsText" text="preliminary data">
      <formula>NOT(ISERROR(SEARCH("preliminary data",A3)))</formula>
    </cfRule>
    <cfRule type="containsText" dxfId="172" priority="191" operator="containsText" text="vorläufige Daten">
      <formula>NOT(ISERROR(SEARCH("vorläufige Daten",A3)))</formula>
    </cfRule>
  </conditionalFormatting>
  <conditionalFormatting sqref="C5 I5">
    <cfRule type="dataBar" priority="1">
      <dataBar showValue="0">
        <cfvo type="min"/>
        <cfvo type="max"/>
        <color rgb="FFE20613"/>
      </dataBar>
      <extLst>
        <ext xmlns:x14="http://schemas.microsoft.com/office/spreadsheetml/2009/9/main" uri="{B025F937-C7B1-47D3-B67F-A62EFF666E3E}">
          <x14:id>{5119AE69-990D-4317-893D-44E825F7FFFD}</x14:id>
        </ext>
      </extLst>
    </cfRule>
  </conditionalFormatting>
  <conditionalFormatting sqref="I5:I6 C5:C6">
    <cfRule type="dataBar" priority="2">
      <dataBar showValue="0">
        <cfvo type="min"/>
        <cfvo type="max"/>
        <color rgb="FF666666"/>
      </dataBar>
      <extLst>
        <ext xmlns:x14="http://schemas.microsoft.com/office/spreadsheetml/2009/9/main" uri="{B025F937-C7B1-47D3-B67F-A62EFF666E3E}">
          <x14:id>{3BE86507-1626-4374-A996-84D0274A9886}</x14:id>
        </ext>
      </extLst>
    </cfRule>
    <cfRule type="dataBar" priority="3">
      <dataBar showValue="0">
        <cfvo type="min"/>
        <cfvo type="max"/>
        <color rgb="FFE20613"/>
      </dataBar>
      <extLst>
        <ext xmlns:x14="http://schemas.microsoft.com/office/spreadsheetml/2009/9/main" uri="{B025F937-C7B1-47D3-B67F-A62EFF666E3E}">
          <x14:id>{74A73746-ABE5-4831-88DC-A87B5635D865}</x14:id>
        </ext>
      </extLst>
    </cfRule>
  </conditionalFormatting>
  <pageMargins left="0.31496062992125984" right="0.31496062992125984" top="0.39370078740157483" bottom="0.39370078740157483" header="0.31496062992125984" footer="0.31496062992125984"/>
  <pageSetup paperSize="9" scale="98" orientation="landscape" horizontalDpi="4294967294" verticalDpi="4294967294" r:id="rId1"/>
  <rowBreaks count="1" manualBreakCount="1">
    <brk id="40" max="11" man="1"/>
  </rowBreaks>
  <drawing r:id="rId2"/>
  <legacyDrawing r:id="rId3"/>
  <controls>
    <mc:AlternateContent xmlns:mc="http://schemas.openxmlformats.org/markup-compatibility/2006">
      <mc:Choice Requires="x14">
        <control shapeId="612366" r:id="rId4" name="in_Euro">
          <controlPr autoLine="0" linkedCell="Dropdown!$Q$1" r:id="rId5">
            <anchor moveWithCells="1">
              <from>
                <xdr:col>9</xdr:col>
                <xdr:colOff>88900</xdr:colOff>
                <xdr:row>0</xdr:row>
                <xdr:rowOff>0</xdr:rowOff>
              </from>
              <to>
                <xdr:col>9</xdr:col>
                <xdr:colOff>1022350</xdr:colOff>
                <xdr:row>1</xdr:row>
                <xdr:rowOff>139700</xdr:rowOff>
              </to>
            </anchor>
          </controlPr>
        </control>
      </mc:Choice>
      <mc:Fallback>
        <control shapeId="612366" r:id="rId4" name="in_Euro"/>
      </mc:Fallback>
    </mc:AlternateContent>
    <mc:AlternateContent xmlns:mc="http://schemas.openxmlformats.org/markup-compatibility/2006">
      <mc:Choice Requires="x14">
        <control shapeId="612367" r:id="rId6" name="in_1000_Euro">
          <controlPr autoLine="0" linkedCell="Dropdown!$Q$2" r:id="rId7">
            <anchor moveWithCells="1">
              <from>
                <xdr:col>9</xdr:col>
                <xdr:colOff>88900</xdr:colOff>
                <xdr:row>1</xdr:row>
                <xdr:rowOff>76200</xdr:rowOff>
              </from>
              <to>
                <xdr:col>9</xdr:col>
                <xdr:colOff>1022350</xdr:colOff>
                <xdr:row>2</xdr:row>
                <xdr:rowOff>114300</xdr:rowOff>
              </to>
            </anchor>
          </controlPr>
        </control>
      </mc:Choice>
      <mc:Fallback>
        <control shapeId="612367" r:id="rId6" name="in_1000_Euro"/>
      </mc:Fallback>
    </mc:AlternateContent>
    <mc:AlternateContent xmlns:mc="http://schemas.openxmlformats.org/markup-compatibility/2006">
      <mc:Choice Requires="x14">
        <control shapeId="612368" r:id="rId8" name="in_Mill_Euro">
          <controlPr autoLine="0" linkedCell="Dropdown!$Q$3" r:id="rId9">
            <anchor moveWithCells="1">
              <from>
                <xdr:col>9</xdr:col>
                <xdr:colOff>88900</xdr:colOff>
                <xdr:row>2</xdr:row>
                <xdr:rowOff>12700</xdr:rowOff>
              </from>
              <to>
                <xdr:col>9</xdr:col>
                <xdr:colOff>1022350</xdr:colOff>
                <xdr:row>3</xdr:row>
                <xdr:rowOff>50800</xdr:rowOff>
              </to>
            </anchor>
          </controlPr>
        </control>
      </mc:Choice>
      <mc:Fallback>
        <control shapeId="612368" r:id="rId8" name="in_Mill_Euro"/>
      </mc:Fallback>
    </mc:AlternateContent>
    <mc:AlternateContent xmlns:mc="http://schemas.openxmlformats.org/markup-compatibility/2006">
      <mc:Choice Requires="x14">
        <control shapeId="612353" r:id="rId10" name="Drop Down 1">
          <controlPr defaultSize="0" autoLine="0" autoPict="0">
            <anchor>
              <from>
                <xdr:col>2</xdr:col>
                <xdr:colOff>450850</xdr:colOff>
                <xdr:row>0</xdr:row>
                <xdr:rowOff>31750</xdr:rowOff>
              </from>
              <to>
                <xdr:col>4</xdr:col>
                <xdr:colOff>412750</xdr:colOff>
                <xdr:row>2</xdr:row>
                <xdr:rowOff>0</xdr:rowOff>
              </to>
            </anchor>
          </controlPr>
        </control>
      </mc:Choice>
    </mc:AlternateContent>
    <mc:AlternateContent xmlns:mc="http://schemas.openxmlformats.org/markup-compatibility/2006">
      <mc:Choice Requires="x14">
        <control shapeId="612354" r:id="rId11" name="Spinner 2">
          <controlPr defaultSize="0" autoPict="0">
            <anchor>
              <from>
                <xdr:col>7</xdr:col>
                <xdr:colOff>1295400</xdr:colOff>
                <xdr:row>0</xdr:row>
                <xdr:rowOff>38100</xdr:rowOff>
              </from>
              <to>
                <xdr:col>7</xdr:col>
                <xdr:colOff>1441450</xdr:colOff>
                <xdr:row>2</xdr:row>
                <xdr:rowOff>0</xdr:rowOff>
              </to>
            </anchor>
          </controlPr>
        </control>
      </mc:Choice>
    </mc:AlternateContent>
    <mc:AlternateContent xmlns:mc="http://schemas.openxmlformats.org/markup-compatibility/2006">
      <mc:Choice Requires="x14">
        <control shapeId="612355" r:id="rId12" name="Spinner 3">
          <controlPr defaultSize="0" autoPict="0">
            <anchor>
              <from>
                <xdr:col>3</xdr:col>
                <xdr:colOff>222250</xdr:colOff>
                <xdr:row>41</xdr:row>
                <xdr:rowOff>184150</xdr:rowOff>
              </from>
              <to>
                <xdr:col>3</xdr:col>
                <xdr:colOff>355600</xdr:colOff>
                <xdr:row>42</xdr:row>
                <xdr:rowOff>184150</xdr:rowOff>
              </to>
            </anchor>
          </controlPr>
        </control>
      </mc:Choice>
    </mc:AlternateContent>
    <mc:AlternateContent xmlns:mc="http://schemas.openxmlformats.org/markup-compatibility/2006">
      <mc:Choice Requires="x14">
        <control shapeId="612363" r:id="rId13" name="Option Button 11">
          <controlPr defaultSize="0" autoFill="0" autoLine="0" autoPict="0">
            <anchor moveWithCells="1">
              <from>
                <xdr:col>12</xdr:col>
                <xdr:colOff>336550</xdr:colOff>
                <xdr:row>1</xdr:row>
                <xdr:rowOff>69850</xdr:rowOff>
              </from>
              <to>
                <xdr:col>13</xdr:col>
                <xdr:colOff>279400</xdr:colOff>
                <xdr:row>2</xdr:row>
                <xdr:rowOff>69850</xdr:rowOff>
              </to>
            </anchor>
          </controlPr>
        </control>
      </mc:Choice>
    </mc:AlternateContent>
    <mc:AlternateContent xmlns:mc="http://schemas.openxmlformats.org/markup-compatibility/2006">
      <mc:Choice Requires="x14">
        <control shapeId="612364" r:id="rId14" name="Option Button 12">
          <controlPr defaultSize="0" autoFill="0" autoLine="0" autoPict="0">
            <anchor moveWithCells="1">
              <from>
                <xdr:col>12</xdr:col>
                <xdr:colOff>336550</xdr:colOff>
                <xdr:row>2</xdr:row>
                <xdr:rowOff>12700</xdr:rowOff>
              </from>
              <to>
                <xdr:col>13</xdr:col>
                <xdr:colOff>279400</xdr:colOff>
                <xdr:row>3</xdr:row>
                <xdr:rowOff>69850</xdr:rowOff>
              </to>
            </anchor>
          </controlPr>
        </control>
      </mc:Choice>
    </mc:AlternateContent>
    <mc:AlternateContent xmlns:mc="http://schemas.openxmlformats.org/markup-compatibility/2006">
      <mc:Choice Requires="x14">
        <control shapeId="612365" r:id="rId15" name="Group Box 13">
          <controlPr defaultSize="0" autoFill="0" autoPict="0">
            <anchor moveWithCells="1">
              <from>
                <xdr:col>12</xdr:col>
                <xdr:colOff>146050</xdr:colOff>
                <xdr:row>0</xdr:row>
                <xdr:rowOff>69850</xdr:rowOff>
              </from>
              <to>
                <xdr:col>13</xdr:col>
                <xdr:colOff>495300</xdr:colOff>
                <xdr:row>3</xdr:row>
                <xdr:rowOff>88900</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dataBar" id="{E189AC05-A8EC-425C-A579-A8DE3548D919}">
            <x14:dataBar minLength="0" maxLength="100" gradient="0">
              <x14:cfvo type="autoMin"/>
              <x14:cfvo type="autoMax"/>
              <x14:negativeFillColor rgb="FF666666"/>
              <x14:axisColor rgb="FF000000"/>
            </x14:dataBar>
          </x14:cfRule>
          <xm:sqref>C28:C39</xm:sqref>
        </x14:conditionalFormatting>
        <x14:conditionalFormatting xmlns:xm="http://schemas.microsoft.com/office/excel/2006/main">
          <x14:cfRule type="dataBar" id="{EF18905C-1292-40F7-A83B-6374AB0EF201}">
            <x14:dataBar minLength="0" maxLength="100" gradient="0">
              <x14:cfvo type="autoMin"/>
              <x14:cfvo type="autoMax"/>
              <x14:negativeFillColor rgb="FFE20613"/>
              <x14:axisColor rgb="FF000000"/>
            </x14:dataBar>
          </x14:cfRule>
          <xm:sqref>I28:I39</xm:sqref>
        </x14:conditionalFormatting>
        <x14:conditionalFormatting xmlns:xm="http://schemas.microsoft.com/office/excel/2006/main">
          <x14:cfRule type="dataBar" id="{3A23F73E-B5E7-4618-A444-B79779C967D4}">
            <x14:dataBar minLength="0" maxLength="100" gradient="0">
              <x14:cfvo type="autoMin"/>
              <x14:cfvo type="max"/>
              <x14:negativeFillColor rgb="FFFF0000"/>
              <x14:axisColor rgb="FFFFFFFF"/>
            </x14:dataBar>
          </x14:cfRule>
          <xm:sqref>E5:E7</xm:sqref>
        </x14:conditionalFormatting>
        <x14:conditionalFormatting xmlns:xm="http://schemas.microsoft.com/office/excel/2006/main">
          <x14:cfRule type="dataBar" id="{EBDCA807-FAA0-4878-A0E8-CDEB085BED01}">
            <x14:dataBar minLength="0" maxLength="100" gradient="0">
              <x14:cfvo type="autoMin"/>
              <x14:cfvo type="autoMax"/>
              <x14:negativeFillColor rgb="FFFF0000"/>
              <x14:axisColor rgb="FF000000"/>
            </x14:dataBar>
          </x14:cfRule>
          <xm:sqref>E5:E6</xm:sqref>
        </x14:conditionalFormatting>
        <x14:conditionalFormatting xmlns:xm="http://schemas.microsoft.com/office/excel/2006/main">
          <x14:cfRule type="dataBar" id="{FB9033B5-0304-4ED1-B192-46EABD9AF46F}">
            <x14:dataBar minLength="0" maxLength="100" gradient="0">
              <x14:cfvo type="autoMin"/>
              <x14:cfvo type="max"/>
              <x14:negativeFillColor rgb="FFFF0000"/>
              <x14:axisColor rgb="FFFFFFFF"/>
            </x14:dataBar>
          </x14:cfRule>
          <xm:sqref>K5:K7</xm:sqref>
        </x14:conditionalFormatting>
        <x14:conditionalFormatting xmlns:xm="http://schemas.microsoft.com/office/excel/2006/main">
          <x14:cfRule type="dataBar" id="{F7E84E57-4017-4CF2-952D-5611C2DBDEFA}">
            <x14:dataBar minLength="0" maxLength="100" gradient="0">
              <x14:cfvo type="autoMin"/>
              <x14:cfvo type="autoMax"/>
              <x14:negativeFillColor rgb="FFFF0000"/>
              <x14:axisColor rgb="FF000000"/>
            </x14:dataBar>
          </x14:cfRule>
          <xm:sqref>K5:K6</xm:sqref>
        </x14:conditionalFormatting>
        <x14:conditionalFormatting xmlns:xm="http://schemas.microsoft.com/office/excel/2006/main">
          <x14:cfRule type="dataBar" id="{17E852A3-315C-4726-BE95-A82E4F563B7D}">
            <x14:dataBar minLength="0" maxLength="100" gradient="0">
              <x14:cfvo type="autoMin"/>
              <x14:cfvo type="autoMax"/>
              <x14:negativeFillColor rgb="FF666666"/>
              <x14:axisColor rgb="FFFFFFFF"/>
            </x14:dataBar>
          </x14:cfRule>
          <xm:sqref>C5:C7 I5:I7</xm:sqref>
        </x14:conditionalFormatting>
        <x14:conditionalFormatting xmlns:xm="http://schemas.microsoft.com/office/excel/2006/main">
          <x14:cfRule type="dataBar" id="{5119AE69-990D-4317-893D-44E825F7FFFD}">
            <x14:dataBar minLength="0" maxLength="100" gradient="0">
              <x14:cfvo type="autoMin"/>
              <x14:cfvo type="autoMax"/>
              <x14:negativeFillColor rgb="FF666666"/>
              <x14:axisColor theme="0"/>
            </x14:dataBar>
          </x14:cfRule>
          <xm:sqref>C5 I5</xm:sqref>
        </x14:conditionalFormatting>
        <x14:conditionalFormatting xmlns:xm="http://schemas.microsoft.com/office/excel/2006/main">
          <x14:cfRule type="dataBar" id="{3BE86507-1626-4374-A996-84D0274A9886}">
            <x14:dataBar minLength="0" maxLength="100" gradient="0">
              <x14:cfvo type="autoMin"/>
              <x14:cfvo type="autoMax"/>
              <x14:negativeFillColor rgb="FFE20613"/>
              <x14:axisColor rgb="FF000000"/>
            </x14:dataBar>
          </x14:cfRule>
          <x14:cfRule type="dataBar" id="{74A73746-ABE5-4831-88DC-A87B5635D865}">
            <x14:dataBar minLength="0" maxLength="100" gradient="0">
              <x14:cfvo type="autoMin"/>
              <x14:cfvo type="autoMax"/>
              <x14:negativeFillColor rgb="FF666666"/>
              <x14:axisColor rgb="FF000000"/>
            </x14:dataBar>
          </x14:cfRule>
          <xm:sqref>I5:I6 C5:C6</xm:sqref>
        </x14:conditionalFormatting>
        <x14:conditionalFormatting xmlns:xm="http://schemas.microsoft.com/office/excel/2006/main">
          <x14:cfRule type="expression" priority="190" id="{F4BA3C7A-0AAF-41AC-97F4-B29CE187DC0E}">
            <xm:f>Texte!$A$1=2</xm:f>
            <x14:dxf>
              <numFmt numFmtId="172" formatCode="0&quot;.&quot;0"/>
            </x14:dxf>
          </x14:cfRule>
          <xm:sqref>E28:E39 K28:K39</xm:sqref>
        </x14:conditionalFormatting>
        <x14:conditionalFormatting xmlns:xm="http://schemas.microsoft.com/office/excel/2006/main">
          <x14:cfRule type="expression" priority="155" id="{386B6367-A62D-4B9D-8B4E-E16B5151D5D1}">
            <xm:f>AND(Texte!$A$1=2,D5&lt;-1,D5&gt;-1000)</xm:f>
            <x14:dxf>
              <numFmt numFmtId="167" formatCode="###;\-###"/>
            </x14:dxf>
          </x14:cfRule>
          <x14:cfRule type="expression" priority="156" id="{177F4D47-5D63-40F4-B463-BA2D336D8C5F}">
            <xm:f>AND(Texte!$A$1=2,D5&lt;-1000,D5&gt;-1000000)</xm:f>
            <x14:dxf>
              <numFmt numFmtId="168" formatCode="###&quot;,&quot;###;\-###&quot;,&quot;###"/>
            </x14:dxf>
          </x14:cfRule>
          <x14:cfRule type="expression" priority="157" id="{2D48859E-9577-4EE6-89CA-F50ECDD05146}">
            <xm:f>AND(Texte!$A$1=2,D5&lt;-1000000,D5&gt;-1000000000)</xm:f>
            <x14:dxf>
              <numFmt numFmtId="169" formatCode="###&quot;,&quot;###&quot;,&quot;###;\-###&quot;,&quot;###&quot;,&quot;###"/>
            </x14:dxf>
          </x14:cfRule>
          <x14:cfRule type="expression" priority="158" id="{2CD52CA6-C64E-46FA-B663-5FA208770A7F}">
            <xm:f>AND(Texte!$A$1=2,D5&lt;-1000000000,D5&gt;-1000000000000)</xm:f>
            <x14:dxf>
              <numFmt numFmtId="170" formatCode="###&quot;,&quot;###&quot;,&quot;###&quot;,&quot;###;\-###&quot;,&quot;###&quot;,&quot;###&quot;,&quot;###"/>
            </x14:dxf>
          </x14:cfRule>
          <x14:cfRule type="expression" priority="159" id="{E1A1F702-0BAF-4316-A222-7593B864E063}">
            <xm:f>AND(Texte!$A$1=2,D5&lt;-1000000000000)</xm:f>
            <x14:dxf>
              <numFmt numFmtId="171" formatCode="###&quot;,&quot;###&quot;,&quot;###&quot;,&quot;###&quot;,&quot;###;\-###&quot;,&quot;###&quot;,&quot;###&quot;,&quot;###&quot;,&quot;###"/>
            </x14:dxf>
          </x14:cfRule>
          <x14:cfRule type="expression" priority="185" id="{67E3276E-8F3E-41B8-8063-92C6BE753284}">
            <xm:f>AND(Texte!$A$1=2,D5&gt;1000000000000)</xm:f>
            <x14:dxf>
              <numFmt numFmtId="171" formatCode="###&quot;,&quot;###&quot;,&quot;###&quot;,&quot;###&quot;,&quot;###;\-###&quot;,&quot;###&quot;,&quot;###&quot;,&quot;###&quot;,&quot;###"/>
            </x14:dxf>
          </x14:cfRule>
          <x14:cfRule type="expression" priority="186" id="{C1C36312-8A6A-425E-9B82-A114BE5377CB}">
            <xm:f>AND(Texte!$A$1=2,D5&gt;1000000000,D5&lt;1000000000000)</xm:f>
            <x14:dxf>
              <numFmt numFmtId="170" formatCode="###&quot;,&quot;###&quot;,&quot;###&quot;,&quot;###;\-###&quot;,&quot;###&quot;,&quot;###&quot;,&quot;###"/>
            </x14:dxf>
          </x14:cfRule>
          <x14:cfRule type="expression" priority="187" id="{6598B698-B20B-4DF7-B619-2F922DF76EA7}">
            <xm:f>AND(Texte!$A$1=2,D5&gt;1000000,D5&lt;1000000000)</xm:f>
            <x14:dxf>
              <numFmt numFmtId="169" formatCode="###&quot;,&quot;###&quot;,&quot;###;\-###&quot;,&quot;###&quot;,&quot;###"/>
            </x14:dxf>
          </x14:cfRule>
          <x14:cfRule type="expression" priority="188" id="{4A9DD76C-59D4-4720-B50F-8DCB59C93C2D}">
            <xm:f>AND(Texte!$A$1=2,D5&gt;1000,D5&lt;1000000)</xm:f>
            <x14:dxf>
              <numFmt numFmtId="168" formatCode="###&quot;,&quot;###;\-###&quot;,&quot;###"/>
            </x14:dxf>
          </x14:cfRule>
          <x14:cfRule type="expression" priority="189" id="{DF255847-38D6-4CC5-A7B4-DCF29751B46D}">
            <xm:f>AND(Texte!$A$1=2,D5&gt;1,D5&lt;1000)</xm:f>
            <x14:dxf>
              <numFmt numFmtId="167" formatCode="###;\-###"/>
            </x14:dxf>
          </x14:cfRule>
          <xm:sqref>D5</xm:sqref>
        </x14:conditionalFormatting>
        <x14:conditionalFormatting xmlns:xm="http://schemas.microsoft.com/office/excel/2006/main">
          <x14:cfRule type="expression" priority="145" id="{A8FBD729-901B-4CB4-B745-BE0522D880FC}">
            <xm:f>AND(Texte!$A$1=2,D6&lt;-1,D6&gt;-1000)</xm:f>
            <x14:dxf>
              <numFmt numFmtId="167" formatCode="###;\-###"/>
            </x14:dxf>
          </x14:cfRule>
          <x14:cfRule type="expression" priority="146" id="{3AE459F8-2660-4F98-A73E-673667A10A89}">
            <xm:f>AND(Texte!$A$1=2,D6&lt;-1000,D6&gt;-1000000)</xm:f>
            <x14:dxf>
              <numFmt numFmtId="168" formatCode="###&quot;,&quot;###;\-###&quot;,&quot;###"/>
            </x14:dxf>
          </x14:cfRule>
          <x14:cfRule type="expression" priority="147" id="{4203B6C0-CDA4-4C41-9734-E1D0590282E8}">
            <xm:f>AND(Texte!$A$1=2,D6&lt;-1000000,D6&gt;-1000000000)</xm:f>
            <x14:dxf>
              <numFmt numFmtId="169" formatCode="###&quot;,&quot;###&quot;,&quot;###;\-###&quot;,&quot;###&quot;,&quot;###"/>
            </x14:dxf>
          </x14:cfRule>
          <x14:cfRule type="expression" priority="148" id="{86770CF2-048D-4A3E-8522-F206C1DE9DBA}">
            <xm:f>AND(Texte!$A$1=2,D6&lt;-1000000000,D6&gt;-1000000000000)</xm:f>
            <x14:dxf>
              <numFmt numFmtId="170" formatCode="###&quot;,&quot;###&quot;,&quot;###&quot;,&quot;###;\-###&quot;,&quot;###&quot;,&quot;###&quot;,&quot;###"/>
            </x14:dxf>
          </x14:cfRule>
          <x14:cfRule type="expression" priority="149" id="{1555DD95-7BBA-48A0-BF57-FFCAB7E6CB08}">
            <xm:f>AND(Texte!$A$1=2,D6&lt;-1000000000000)</xm:f>
            <x14:dxf>
              <numFmt numFmtId="171" formatCode="###&quot;,&quot;###&quot;,&quot;###&quot;,&quot;###&quot;,&quot;###;\-###&quot;,&quot;###&quot;,&quot;###&quot;,&quot;###&quot;,&quot;###"/>
            </x14:dxf>
          </x14:cfRule>
          <x14:cfRule type="expression" priority="150" id="{3CF81D4F-0335-4A6D-B39E-30B62940661F}">
            <xm:f>AND(Texte!$A$1=2,D6&gt;1000000000000)</xm:f>
            <x14:dxf>
              <numFmt numFmtId="171" formatCode="###&quot;,&quot;###&quot;,&quot;###&quot;,&quot;###&quot;,&quot;###;\-###&quot;,&quot;###&quot;,&quot;###&quot;,&quot;###&quot;,&quot;###"/>
            </x14:dxf>
          </x14:cfRule>
          <x14:cfRule type="expression" priority="151" id="{D5DBE15D-8111-48BB-AAA7-0306B00D9103}">
            <xm:f>AND(Texte!$A$1=2,D6&gt;1000000000,D6&lt;1000000000000)</xm:f>
            <x14:dxf>
              <numFmt numFmtId="170" formatCode="###&quot;,&quot;###&quot;,&quot;###&quot;,&quot;###;\-###&quot;,&quot;###&quot;,&quot;###&quot;,&quot;###"/>
            </x14:dxf>
          </x14:cfRule>
          <x14:cfRule type="expression" priority="152" id="{3E9865F0-1758-47E5-BD14-0AC0FE5B37E2}">
            <xm:f>AND(Texte!$A$1=2,D6&gt;1000000,D6&lt;1000000000)</xm:f>
            <x14:dxf>
              <numFmt numFmtId="169" formatCode="###&quot;,&quot;###&quot;,&quot;###;\-###&quot;,&quot;###&quot;,&quot;###"/>
            </x14:dxf>
          </x14:cfRule>
          <x14:cfRule type="expression" priority="153" id="{B6E0C8AF-8A86-48CD-AD33-5622C64BD9F5}">
            <xm:f>AND(Texte!$A$1=2,D6&gt;1000,D6&lt;1000000)</xm:f>
            <x14:dxf>
              <numFmt numFmtId="168" formatCode="###&quot;,&quot;###;\-###&quot;,&quot;###"/>
            </x14:dxf>
          </x14:cfRule>
          <x14:cfRule type="expression" priority="154" id="{455353FE-DEDA-4983-A95F-1DEC8833C9FB}">
            <xm:f>AND(Texte!$A$1=2,D6&gt;1,D6&lt;1000)</xm:f>
            <x14:dxf>
              <numFmt numFmtId="167" formatCode="###;\-###"/>
            </x14:dxf>
          </x14:cfRule>
          <xm:sqref>D6</xm:sqref>
        </x14:conditionalFormatting>
        <x14:conditionalFormatting xmlns:xm="http://schemas.microsoft.com/office/excel/2006/main">
          <x14:cfRule type="expression" priority="135" id="{4E844F67-7F98-447E-A70A-DE8BF8BEB96E}">
            <xm:f>AND(Texte!$A$1=2,D7&lt;-1,D7&gt;-1000)</xm:f>
            <x14:dxf>
              <numFmt numFmtId="167" formatCode="###;\-###"/>
            </x14:dxf>
          </x14:cfRule>
          <x14:cfRule type="expression" priority="136" id="{4E792318-ADBE-45CA-AB0B-ACA1B3B0A1DC}">
            <xm:f>AND(Texte!$A$1=2,D7&lt;-1000,D7&gt;-1000000)</xm:f>
            <x14:dxf>
              <numFmt numFmtId="168" formatCode="###&quot;,&quot;###;\-###&quot;,&quot;###"/>
            </x14:dxf>
          </x14:cfRule>
          <x14:cfRule type="expression" priority="137" id="{819C6292-2AE8-41C2-B321-E37959B45C76}">
            <xm:f>AND(Texte!$A$1=2,D7&lt;-1000000,D7&gt;-1000000000)</xm:f>
            <x14:dxf>
              <numFmt numFmtId="169" formatCode="###&quot;,&quot;###&quot;,&quot;###;\-###&quot;,&quot;###&quot;,&quot;###"/>
            </x14:dxf>
          </x14:cfRule>
          <x14:cfRule type="expression" priority="138" id="{10370333-EF7D-4E6D-9CBC-414DEEBD17EB}">
            <xm:f>AND(Texte!$A$1=2,D7&lt;-1000000000,D7&gt;-1000000000000)</xm:f>
            <x14:dxf>
              <numFmt numFmtId="170" formatCode="###&quot;,&quot;###&quot;,&quot;###&quot;,&quot;###;\-###&quot;,&quot;###&quot;,&quot;###&quot;,&quot;###"/>
            </x14:dxf>
          </x14:cfRule>
          <x14:cfRule type="expression" priority="139" id="{23A142C2-1513-4357-AD2F-D7A4F3A3F797}">
            <xm:f>AND(Texte!$A$1=2,D7&lt;-1000000000000)</xm:f>
            <x14:dxf>
              <numFmt numFmtId="171" formatCode="###&quot;,&quot;###&quot;,&quot;###&quot;,&quot;###&quot;,&quot;###;\-###&quot;,&quot;###&quot;,&quot;###&quot;,&quot;###&quot;,&quot;###"/>
            </x14:dxf>
          </x14:cfRule>
          <x14:cfRule type="expression" priority="140" id="{3986B226-12BD-44FB-806B-AC1AEE5B77D8}">
            <xm:f>AND(Texte!$A$1=2,D7&gt;1000000000000)</xm:f>
            <x14:dxf>
              <numFmt numFmtId="171" formatCode="###&quot;,&quot;###&quot;,&quot;###&quot;,&quot;###&quot;,&quot;###;\-###&quot;,&quot;###&quot;,&quot;###&quot;,&quot;###&quot;,&quot;###"/>
            </x14:dxf>
          </x14:cfRule>
          <x14:cfRule type="expression" priority="141" id="{86CFC8DD-DD67-42A6-8641-B7D850FB7F37}">
            <xm:f>AND(Texte!$A$1=2,D7&gt;1000000000,D7&lt;1000000000000)</xm:f>
            <x14:dxf>
              <numFmt numFmtId="170" formatCode="###&quot;,&quot;###&quot;,&quot;###&quot;,&quot;###;\-###&quot;,&quot;###&quot;,&quot;###&quot;,&quot;###"/>
            </x14:dxf>
          </x14:cfRule>
          <x14:cfRule type="expression" priority="142" id="{11BF14DD-B0E9-40C5-BE6E-FA5C8D2C8896}">
            <xm:f>AND(Texte!$A$1=2,D7&gt;1000000,D7&lt;1000000000)</xm:f>
            <x14:dxf>
              <numFmt numFmtId="169" formatCode="###&quot;,&quot;###&quot;,&quot;###;\-###&quot;,&quot;###&quot;,&quot;###"/>
            </x14:dxf>
          </x14:cfRule>
          <x14:cfRule type="expression" priority="143" id="{30FA9F5D-6045-4F3A-8AFC-E9D18907F3CD}">
            <xm:f>AND(Texte!$A$1=2,D7&gt;1000,D7&lt;1000000)</xm:f>
            <x14:dxf>
              <numFmt numFmtId="168" formatCode="###&quot;,&quot;###;\-###&quot;,&quot;###"/>
            </x14:dxf>
          </x14:cfRule>
          <x14:cfRule type="expression" priority="144" id="{75EE1863-10AF-4906-82C8-0A19211B3265}">
            <xm:f>AND(Texte!$A$1=2,D7&gt;1,D7&lt;1000)</xm:f>
            <x14:dxf>
              <numFmt numFmtId="167" formatCode="###;\-###"/>
            </x14:dxf>
          </x14:cfRule>
          <xm:sqref>D7</xm:sqref>
        </x14:conditionalFormatting>
        <x14:conditionalFormatting xmlns:xm="http://schemas.microsoft.com/office/excel/2006/main">
          <x14:cfRule type="expression" priority="125" id="{4B47F198-CA7E-421A-9C6E-94A604AB5FBC}">
            <xm:f>AND(Texte!$A$1=2,D28&lt;-1,D28&gt;-1000)</xm:f>
            <x14:dxf>
              <numFmt numFmtId="167" formatCode="###;\-###"/>
            </x14:dxf>
          </x14:cfRule>
          <x14:cfRule type="expression" priority="126" id="{B3D19DF6-970F-4916-8342-4C8C08983C67}">
            <xm:f>AND(Texte!$A$1=2,D28&lt;-1000,D28&gt;-1000000)</xm:f>
            <x14:dxf>
              <numFmt numFmtId="168" formatCode="###&quot;,&quot;###;\-###&quot;,&quot;###"/>
            </x14:dxf>
          </x14:cfRule>
          <x14:cfRule type="expression" priority="127" id="{7983366B-A58C-433A-A309-4FB965B9467B}">
            <xm:f>AND(Texte!$A$1=2,D28&lt;-1000000,D28&gt;-1000000000)</xm:f>
            <x14:dxf>
              <numFmt numFmtId="169" formatCode="###&quot;,&quot;###&quot;,&quot;###;\-###&quot;,&quot;###&quot;,&quot;###"/>
            </x14:dxf>
          </x14:cfRule>
          <x14:cfRule type="expression" priority="128" id="{830A9F96-BE74-4EF8-BF9A-1A3F03F4107D}">
            <xm:f>AND(Texte!$A$1=2,D28&lt;-1000000000,D28&gt;-1000000000000)</xm:f>
            <x14:dxf>
              <numFmt numFmtId="170" formatCode="###&quot;,&quot;###&quot;,&quot;###&quot;,&quot;###;\-###&quot;,&quot;###&quot;,&quot;###&quot;,&quot;###"/>
            </x14:dxf>
          </x14:cfRule>
          <x14:cfRule type="expression" priority="129" id="{792235A5-FBB3-4A6F-AD4D-800C81C7FFF1}">
            <xm:f>AND(Texte!$A$1=2,D28&lt;-1000000000000)</xm:f>
            <x14:dxf>
              <numFmt numFmtId="171" formatCode="###&quot;,&quot;###&quot;,&quot;###&quot;,&quot;###&quot;,&quot;###;\-###&quot;,&quot;###&quot;,&quot;###&quot;,&quot;###&quot;,&quot;###"/>
            </x14:dxf>
          </x14:cfRule>
          <x14:cfRule type="expression" priority="130" id="{AB31F45A-9341-44A1-99A9-428BE9FDBE91}">
            <xm:f>AND(Texte!$A$1=2,D28&gt;1000000000000)</xm:f>
            <x14:dxf>
              <numFmt numFmtId="171" formatCode="###&quot;,&quot;###&quot;,&quot;###&quot;,&quot;###&quot;,&quot;###;\-###&quot;,&quot;###&quot;,&quot;###&quot;,&quot;###&quot;,&quot;###"/>
            </x14:dxf>
          </x14:cfRule>
          <x14:cfRule type="expression" priority="131" id="{ED385C76-A219-4099-9E1C-EDE31FA87789}">
            <xm:f>AND(Texte!$A$1=2,D28&gt;1000000000,D28&lt;1000000000000)</xm:f>
            <x14:dxf>
              <numFmt numFmtId="170" formatCode="###&quot;,&quot;###&quot;,&quot;###&quot;,&quot;###;\-###&quot;,&quot;###&quot;,&quot;###&quot;,&quot;###"/>
            </x14:dxf>
          </x14:cfRule>
          <x14:cfRule type="expression" priority="132" id="{9BA228C6-5613-4EEA-AB53-721B0F726063}">
            <xm:f>AND(Texte!$A$1=2,D28&gt;1000000,D28&lt;1000000000)</xm:f>
            <x14:dxf>
              <numFmt numFmtId="169" formatCode="###&quot;,&quot;###&quot;,&quot;###;\-###&quot;,&quot;###&quot;,&quot;###"/>
            </x14:dxf>
          </x14:cfRule>
          <x14:cfRule type="expression" priority="133" id="{8B493FB4-E3EC-404F-BA46-5683B56CFC16}">
            <xm:f>AND(Texte!$A$1=2,D28&gt;1000,D28&lt;1000000)</xm:f>
            <x14:dxf>
              <numFmt numFmtId="168" formatCode="###&quot;,&quot;###;\-###&quot;,&quot;###"/>
            </x14:dxf>
          </x14:cfRule>
          <x14:cfRule type="expression" priority="134" id="{768333BA-3C52-40BD-8091-04EEE6591B2E}">
            <xm:f>AND(Texte!$A$1=2,D28&gt;1,D28&lt;1000)</xm:f>
            <x14:dxf>
              <numFmt numFmtId="167" formatCode="###;\-###"/>
            </x14:dxf>
          </x14:cfRule>
          <xm:sqref>D28</xm:sqref>
        </x14:conditionalFormatting>
        <x14:conditionalFormatting xmlns:xm="http://schemas.microsoft.com/office/excel/2006/main">
          <x14:cfRule type="expression" priority="115" id="{9250DA61-7D14-421B-88CD-A035F1F2DDB6}">
            <xm:f>AND(Texte!$A$1=2,D29&lt;-1,D29&gt;-1000)</xm:f>
            <x14:dxf>
              <numFmt numFmtId="167" formatCode="###;\-###"/>
            </x14:dxf>
          </x14:cfRule>
          <x14:cfRule type="expression" priority="116" id="{91EA89C0-616E-4DFA-AA4E-62B0133EE393}">
            <xm:f>AND(Texte!$A$1=2,D29&lt;-1000,D29&gt;-1000000)</xm:f>
            <x14:dxf>
              <numFmt numFmtId="168" formatCode="###&quot;,&quot;###;\-###&quot;,&quot;###"/>
            </x14:dxf>
          </x14:cfRule>
          <x14:cfRule type="expression" priority="117" id="{7A33DAB7-3604-4C86-84FA-3BCB1CEB7202}">
            <xm:f>AND(Texte!$A$1=2,D29&lt;-1000000,D29&gt;-1000000000)</xm:f>
            <x14:dxf>
              <numFmt numFmtId="169" formatCode="###&quot;,&quot;###&quot;,&quot;###;\-###&quot;,&quot;###&quot;,&quot;###"/>
            </x14:dxf>
          </x14:cfRule>
          <x14:cfRule type="expression" priority="118" id="{8165FFF5-8FB9-44AC-8212-020B8DF078A5}">
            <xm:f>AND(Texte!$A$1=2,D29&lt;-1000000000,D29&gt;-1000000000000)</xm:f>
            <x14:dxf>
              <numFmt numFmtId="170" formatCode="###&quot;,&quot;###&quot;,&quot;###&quot;,&quot;###;\-###&quot;,&quot;###&quot;,&quot;###&quot;,&quot;###"/>
            </x14:dxf>
          </x14:cfRule>
          <x14:cfRule type="expression" priority="119" id="{4EFCA7D3-0ECD-40A7-8C1F-06063C58C93F}">
            <xm:f>AND(Texte!$A$1=2,D29&lt;-1000000000000)</xm:f>
            <x14:dxf>
              <numFmt numFmtId="171" formatCode="###&quot;,&quot;###&quot;,&quot;###&quot;,&quot;###&quot;,&quot;###;\-###&quot;,&quot;###&quot;,&quot;###&quot;,&quot;###&quot;,&quot;###"/>
            </x14:dxf>
          </x14:cfRule>
          <x14:cfRule type="expression" priority="120" id="{6984386C-2275-4AF2-95D4-EB50A9E8FD19}">
            <xm:f>AND(Texte!$A$1=2,D29&gt;1000000000000)</xm:f>
            <x14:dxf>
              <numFmt numFmtId="171" formatCode="###&quot;,&quot;###&quot;,&quot;###&quot;,&quot;###&quot;,&quot;###;\-###&quot;,&quot;###&quot;,&quot;###&quot;,&quot;###&quot;,&quot;###"/>
            </x14:dxf>
          </x14:cfRule>
          <x14:cfRule type="expression" priority="121" id="{56714978-9EBE-4B97-958D-2FD1C1BC72A8}">
            <xm:f>AND(Texte!$A$1=2,D29&gt;1000000000,D29&lt;1000000000000)</xm:f>
            <x14:dxf>
              <numFmt numFmtId="170" formatCode="###&quot;,&quot;###&quot;,&quot;###&quot;,&quot;###;\-###&quot;,&quot;###&quot;,&quot;###&quot;,&quot;###"/>
            </x14:dxf>
          </x14:cfRule>
          <x14:cfRule type="expression" priority="122" id="{3DB1A949-C370-479C-B282-A9D32D4DC4DF}">
            <xm:f>AND(Texte!$A$1=2,D29&gt;1000000,D29&lt;1000000000)</xm:f>
            <x14:dxf>
              <numFmt numFmtId="169" formatCode="###&quot;,&quot;###&quot;,&quot;###;\-###&quot;,&quot;###&quot;,&quot;###"/>
            </x14:dxf>
          </x14:cfRule>
          <x14:cfRule type="expression" priority="123" id="{CB882556-1584-4EFA-BBFA-C42732A96B39}">
            <xm:f>AND(Texte!$A$1=2,D29&gt;1000,D29&lt;1000000)</xm:f>
            <x14:dxf>
              <numFmt numFmtId="168" formatCode="###&quot;,&quot;###;\-###&quot;,&quot;###"/>
            </x14:dxf>
          </x14:cfRule>
          <x14:cfRule type="expression" priority="124" id="{6A2F3E87-5BC5-47E0-AA4E-8467AA71A061}">
            <xm:f>AND(Texte!$A$1=2,D29&gt;1,D29&lt;1000)</xm:f>
            <x14:dxf>
              <numFmt numFmtId="167" formatCode="###;\-###"/>
            </x14:dxf>
          </x14:cfRule>
          <xm:sqref>D29</xm:sqref>
        </x14:conditionalFormatting>
        <x14:conditionalFormatting xmlns:xm="http://schemas.microsoft.com/office/excel/2006/main">
          <x14:cfRule type="expression" priority="105" id="{E9367907-875F-4757-B91A-E4AD0C650FBE}">
            <xm:f>AND(Texte!$A$1=2,D30&lt;-1,D30&gt;-1000)</xm:f>
            <x14:dxf>
              <numFmt numFmtId="167" formatCode="###;\-###"/>
            </x14:dxf>
          </x14:cfRule>
          <x14:cfRule type="expression" priority="106" id="{48DD0B91-B4CF-454E-AD2B-E27EA3D509F4}">
            <xm:f>AND(Texte!$A$1=2,D30&lt;-1000,D30&gt;-1000000)</xm:f>
            <x14:dxf>
              <numFmt numFmtId="168" formatCode="###&quot;,&quot;###;\-###&quot;,&quot;###"/>
            </x14:dxf>
          </x14:cfRule>
          <x14:cfRule type="expression" priority="107" id="{E5DBC220-7A1D-4A60-8DA4-4ABF5BB370FE}">
            <xm:f>AND(Texte!$A$1=2,D30&lt;-1000000,D30&gt;-1000000000)</xm:f>
            <x14:dxf>
              <numFmt numFmtId="169" formatCode="###&quot;,&quot;###&quot;,&quot;###;\-###&quot;,&quot;###&quot;,&quot;###"/>
            </x14:dxf>
          </x14:cfRule>
          <x14:cfRule type="expression" priority="108" id="{BCD9EE39-46E3-4C02-8E9D-6364119D7339}">
            <xm:f>AND(Texte!$A$1=2,D30&lt;-1000000000,D30&gt;-1000000000000)</xm:f>
            <x14:dxf>
              <numFmt numFmtId="170" formatCode="###&quot;,&quot;###&quot;,&quot;###&quot;,&quot;###;\-###&quot;,&quot;###&quot;,&quot;###&quot;,&quot;###"/>
            </x14:dxf>
          </x14:cfRule>
          <x14:cfRule type="expression" priority="109" id="{B79A70A3-8F53-414C-9CA6-4FD0FAD9DA72}">
            <xm:f>AND(Texte!$A$1=2,D30&lt;-1000000000000)</xm:f>
            <x14:dxf>
              <numFmt numFmtId="171" formatCode="###&quot;,&quot;###&quot;,&quot;###&quot;,&quot;###&quot;,&quot;###;\-###&quot;,&quot;###&quot;,&quot;###&quot;,&quot;###&quot;,&quot;###"/>
            </x14:dxf>
          </x14:cfRule>
          <x14:cfRule type="expression" priority="110" id="{DD9A81DC-A778-4879-B338-C789C016E878}">
            <xm:f>AND(Texte!$A$1=2,D30&gt;1000000000000)</xm:f>
            <x14:dxf>
              <numFmt numFmtId="171" formatCode="###&quot;,&quot;###&quot;,&quot;###&quot;,&quot;###&quot;,&quot;###;\-###&quot;,&quot;###&quot;,&quot;###&quot;,&quot;###&quot;,&quot;###"/>
            </x14:dxf>
          </x14:cfRule>
          <x14:cfRule type="expression" priority="111" id="{C93DD834-D60A-4C2E-9D96-0974FC1E6D75}">
            <xm:f>AND(Texte!$A$1=2,D30&gt;1000000000,D30&lt;1000000000000)</xm:f>
            <x14:dxf>
              <numFmt numFmtId="170" formatCode="###&quot;,&quot;###&quot;,&quot;###&quot;,&quot;###;\-###&quot;,&quot;###&quot;,&quot;###&quot;,&quot;###"/>
            </x14:dxf>
          </x14:cfRule>
          <x14:cfRule type="expression" priority="112" id="{823BC06D-EC9E-455D-B4FF-94EF2D8CEFC2}">
            <xm:f>AND(Texte!$A$1=2,D30&gt;1000000,D30&lt;1000000000)</xm:f>
            <x14:dxf>
              <numFmt numFmtId="169" formatCode="###&quot;,&quot;###&quot;,&quot;###;\-###&quot;,&quot;###&quot;,&quot;###"/>
            </x14:dxf>
          </x14:cfRule>
          <x14:cfRule type="expression" priority="113" id="{6B92CA85-2688-4448-A92E-C3EB0931EF79}">
            <xm:f>AND(Texte!$A$1=2,D30&gt;1000,D30&lt;1000000)</xm:f>
            <x14:dxf>
              <numFmt numFmtId="168" formatCode="###&quot;,&quot;###;\-###&quot;,&quot;###"/>
            </x14:dxf>
          </x14:cfRule>
          <x14:cfRule type="expression" priority="114" id="{081950DD-0668-4898-BFDD-79626F02FAD5}">
            <xm:f>AND(Texte!$A$1=2,D30&gt;1,D30&lt;1000)</xm:f>
            <x14:dxf>
              <numFmt numFmtId="167" formatCode="###;\-###"/>
            </x14:dxf>
          </x14:cfRule>
          <xm:sqref>D30 D32 D34 D36</xm:sqref>
        </x14:conditionalFormatting>
        <x14:conditionalFormatting xmlns:xm="http://schemas.microsoft.com/office/excel/2006/main">
          <x14:cfRule type="expression" priority="95" id="{2C258F84-1F82-4297-B794-283ABF0206A4}">
            <xm:f>AND(Texte!$A$1=2,D31&lt;-1,D31&gt;-1000)</xm:f>
            <x14:dxf>
              <numFmt numFmtId="167" formatCode="###;\-###"/>
            </x14:dxf>
          </x14:cfRule>
          <x14:cfRule type="expression" priority="96" id="{B8109A2E-6A71-4E5D-A1B2-644022B7F485}">
            <xm:f>AND(Texte!$A$1=2,D31&lt;-1000,D31&gt;-1000000)</xm:f>
            <x14:dxf>
              <numFmt numFmtId="168" formatCode="###&quot;,&quot;###;\-###&quot;,&quot;###"/>
            </x14:dxf>
          </x14:cfRule>
          <x14:cfRule type="expression" priority="97" id="{EF324F74-0B8E-4A73-9B09-1F77F92A6D19}">
            <xm:f>AND(Texte!$A$1=2,D31&lt;-1000000,D31&gt;-1000000000)</xm:f>
            <x14:dxf>
              <numFmt numFmtId="169" formatCode="###&quot;,&quot;###&quot;,&quot;###;\-###&quot;,&quot;###&quot;,&quot;###"/>
            </x14:dxf>
          </x14:cfRule>
          <x14:cfRule type="expression" priority="98" id="{82A2F1AE-88C1-45D2-9CFA-579986B500F7}">
            <xm:f>AND(Texte!$A$1=2,D31&lt;-1000000000,D31&gt;-1000000000000)</xm:f>
            <x14:dxf>
              <numFmt numFmtId="170" formatCode="###&quot;,&quot;###&quot;,&quot;###&quot;,&quot;###;\-###&quot;,&quot;###&quot;,&quot;###&quot;,&quot;###"/>
            </x14:dxf>
          </x14:cfRule>
          <x14:cfRule type="expression" priority="99" id="{B0F6B68B-B823-40B8-AF1A-2580C54F435E}">
            <xm:f>AND(Texte!$A$1=2,D31&lt;-1000000000000)</xm:f>
            <x14:dxf>
              <numFmt numFmtId="171" formatCode="###&quot;,&quot;###&quot;,&quot;###&quot;,&quot;###&quot;,&quot;###;\-###&quot;,&quot;###&quot;,&quot;###&quot;,&quot;###&quot;,&quot;###"/>
            </x14:dxf>
          </x14:cfRule>
          <x14:cfRule type="expression" priority="100" id="{3013026D-A08D-4279-BA60-D1F81DAED295}">
            <xm:f>AND(Texte!$A$1=2,D31&gt;1000000000000)</xm:f>
            <x14:dxf>
              <numFmt numFmtId="171" formatCode="###&quot;,&quot;###&quot;,&quot;###&quot;,&quot;###&quot;,&quot;###;\-###&quot;,&quot;###&quot;,&quot;###&quot;,&quot;###&quot;,&quot;###"/>
            </x14:dxf>
          </x14:cfRule>
          <x14:cfRule type="expression" priority="101" id="{C9D4B6E8-C925-4F61-A332-57B36D674429}">
            <xm:f>AND(Texte!$A$1=2,D31&gt;1000000000,D31&lt;1000000000000)</xm:f>
            <x14:dxf>
              <numFmt numFmtId="170" formatCode="###&quot;,&quot;###&quot;,&quot;###&quot;,&quot;###;\-###&quot;,&quot;###&quot;,&quot;###&quot;,&quot;###"/>
            </x14:dxf>
          </x14:cfRule>
          <x14:cfRule type="expression" priority="102" id="{A599D1E6-51F6-40DD-A6D6-FAF53C972FB1}">
            <xm:f>AND(Texte!$A$1=2,D31&gt;1000000,D31&lt;1000000000)</xm:f>
            <x14:dxf>
              <numFmt numFmtId="169" formatCode="###&quot;,&quot;###&quot;,&quot;###;\-###&quot;,&quot;###&quot;,&quot;###"/>
            </x14:dxf>
          </x14:cfRule>
          <x14:cfRule type="expression" priority="103" id="{A8A017E7-5E27-411F-A0A6-D928F364C52F}">
            <xm:f>AND(Texte!$A$1=2,D31&gt;1000,D31&lt;1000000)</xm:f>
            <x14:dxf>
              <numFmt numFmtId="168" formatCode="###&quot;,&quot;###;\-###&quot;,&quot;###"/>
            </x14:dxf>
          </x14:cfRule>
          <x14:cfRule type="expression" priority="104" id="{C4F4F6E6-9503-435F-A81D-8E14BA70EE1E}">
            <xm:f>AND(Texte!$A$1=2,D31&gt;1,D31&lt;1000)</xm:f>
            <x14:dxf>
              <numFmt numFmtId="167" formatCode="###;\-###"/>
            </x14:dxf>
          </x14:cfRule>
          <xm:sqref>D31 D33 D35 D37</xm:sqref>
        </x14:conditionalFormatting>
        <x14:conditionalFormatting xmlns:xm="http://schemas.microsoft.com/office/excel/2006/main">
          <x14:cfRule type="expression" priority="85" id="{4B4B01A6-0520-4BC0-87D9-7219F2A0CFC2}">
            <xm:f>AND(Texte!$A$1=2,D39&lt;-1,D39&gt;-1000)</xm:f>
            <x14:dxf>
              <numFmt numFmtId="167" formatCode="###;\-###"/>
            </x14:dxf>
          </x14:cfRule>
          <x14:cfRule type="expression" priority="86" id="{29A7E7BB-1C52-49A0-B5BE-6992EC43BC94}">
            <xm:f>AND(Texte!$A$1=2,D39&lt;-1000,D39&gt;-1000000)</xm:f>
            <x14:dxf>
              <numFmt numFmtId="168" formatCode="###&quot;,&quot;###;\-###&quot;,&quot;###"/>
            </x14:dxf>
          </x14:cfRule>
          <x14:cfRule type="expression" priority="87" id="{1C93A2A4-763F-44FA-92A6-A516659A9777}">
            <xm:f>AND(Texte!$A$1=2,D39&lt;-1000000,D39&gt;-1000000000)</xm:f>
            <x14:dxf>
              <numFmt numFmtId="169" formatCode="###&quot;,&quot;###&quot;,&quot;###;\-###&quot;,&quot;###&quot;,&quot;###"/>
            </x14:dxf>
          </x14:cfRule>
          <x14:cfRule type="expression" priority="88" id="{0B469CE8-3400-4C63-821A-629CF7BA8A30}">
            <xm:f>AND(Texte!$A$1=2,D39&lt;-1000000000,D39&gt;-1000000000000)</xm:f>
            <x14:dxf>
              <numFmt numFmtId="170" formatCode="###&quot;,&quot;###&quot;,&quot;###&quot;,&quot;###;\-###&quot;,&quot;###&quot;,&quot;###&quot;,&quot;###"/>
            </x14:dxf>
          </x14:cfRule>
          <x14:cfRule type="expression" priority="89" id="{03388813-3301-4EE8-A6BA-F99A7A0C4DEF}">
            <xm:f>AND(Texte!$A$1=2,D39&lt;-1000000000000)</xm:f>
            <x14:dxf>
              <numFmt numFmtId="171" formatCode="###&quot;,&quot;###&quot;,&quot;###&quot;,&quot;###&quot;,&quot;###;\-###&quot;,&quot;###&quot;,&quot;###&quot;,&quot;###&quot;,&quot;###"/>
            </x14:dxf>
          </x14:cfRule>
          <x14:cfRule type="expression" priority="90" id="{E698BE43-15F4-4313-B7B9-CBDEF47726F3}">
            <xm:f>AND(Texte!$A$1=2,D39&gt;1000000000000)</xm:f>
            <x14:dxf>
              <numFmt numFmtId="171" formatCode="###&quot;,&quot;###&quot;,&quot;###&quot;,&quot;###&quot;,&quot;###;\-###&quot;,&quot;###&quot;,&quot;###&quot;,&quot;###&quot;,&quot;###"/>
            </x14:dxf>
          </x14:cfRule>
          <x14:cfRule type="expression" priority="91" id="{0514710A-5AE9-4099-B5CB-3D0D2791B4EE}">
            <xm:f>AND(Texte!$A$1=2,D39&gt;1000000000,D39&lt;1000000000000)</xm:f>
            <x14:dxf>
              <numFmt numFmtId="170" formatCode="###&quot;,&quot;###&quot;,&quot;###&quot;,&quot;###;\-###&quot;,&quot;###&quot;,&quot;###&quot;,&quot;###"/>
            </x14:dxf>
          </x14:cfRule>
          <x14:cfRule type="expression" priority="92" id="{CD1BC632-1732-434A-9AC3-BA3D04C46B77}">
            <xm:f>AND(Texte!$A$1=2,D39&gt;1000000,D39&lt;1000000000)</xm:f>
            <x14:dxf>
              <numFmt numFmtId="169" formatCode="###&quot;,&quot;###&quot;,&quot;###;\-###&quot;,&quot;###&quot;,&quot;###"/>
            </x14:dxf>
          </x14:cfRule>
          <x14:cfRule type="expression" priority="93" id="{1651AB1B-4F80-4145-9931-6AAA9458E4F9}">
            <xm:f>AND(Texte!$A$1=2,D39&gt;1000,D39&lt;1000000)</xm:f>
            <x14:dxf>
              <numFmt numFmtId="168" formatCode="###&quot;,&quot;###;\-###&quot;,&quot;###"/>
            </x14:dxf>
          </x14:cfRule>
          <x14:cfRule type="expression" priority="94" id="{7A3383BF-ABFF-4405-BF7F-ABEFA2D392CE}">
            <xm:f>AND(Texte!$A$1=2,D39&gt;1,D39&lt;1000)</xm:f>
            <x14:dxf>
              <numFmt numFmtId="167" formatCode="###;\-###"/>
            </x14:dxf>
          </x14:cfRule>
          <xm:sqref>D39</xm:sqref>
        </x14:conditionalFormatting>
        <x14:conditionalFormatting xmlns:xm="http://schemas.microsoft.com/office/excel/2006/main">
          <x14:cfRule type="expression" priority="75" id="{D9F81A66-F360-4114-84AE-77D102280769}">
            <xm:f>AND(Texte!$A$1=2,J28&lt;-1,J28&gt;-1000)</xm:f>
            <x14:dxf>
              <numFmt numFmtId="167" formatCode="###;\-###"/>
            </x14:dxf>
          </x14:cfRule>
          <x14:cfRule type="expression" priority="76" id="{BBFF66D4-7922-42BA-9640-C5D81973151A}">
            <xm:f>AND(Texte!$A$1=2,J28&lt;-1000,J28&gt;-1000000)</xm:f>
            <x14:dxf>
              <numFmt numFmtId="168" formatCode="###&quot;,&quot;###;\-###&quot;,&quot;###"/>
            </x14:dxf>
          </x14:cfRule>
          <x14:cfRule type="expression" priority="77" id="{BBEC4283-B497-4114-BCDD-DCE35D3292F2}">
            <xm:f>AND(Texte!$A$1=2,J28&lt;-1000000,J28&gt;-1000000000)</xm:f>
            <x14:dxf>
              <numFmt numFmtId="169" formatCode="###&quot;,&quot;###&quot;,&quot;###;\-###&quot;,&quot;###&quot;,&quot;###"/>
            </x14:dxf>
          </x14:cfRule>
          <x14:cfRule type="expression" priority="78" id="{4939ACEE-CA17-4116-BEBE-330025ACC9E5}">
            <xm:f>AND(Texte!$A$1=2,J28&lt;-1000000000,J28&gt;-1000000000000)</xm:f>
            <x14:dxf>
              <numFmt numFmtId="170" formatCode="###&quot;,&quot;###&quot;,&quot;###&quot;,&quot;###;\-###&quot;,&quot;###&quot;,&quot;###&quot;,&quot;###"/>
            </x14:dxf>
          </x14:cfRule>
          <x14:cfRule type="expression" priority="79" id="{A281AE96-F16C-4A57-8671-31710E5DC904}">
            <xm:f>AND(Texte!$A$1=2,J28&lt;-1000000000000)</xm:f>
            <x14:dxf>
              <numFmt numFmtId="171" formatCode="###&quot;,&quot;###&quot;,&quot;###&quot;,&quot;###&quot;,&quot;###;\-###&quot;,&quot;###&quot;,&quot;###&quot;,&quot;###&quot;,&quot;###"/>
            </x14:dxf>
          </x14:cfRule>
          <x14:cfRule type="expression" priority="80" id="{B0DE010A-6B32-4301-B471-D2EB0E768FBF}">
            <xm:f>AND(Texte!$A$1=2,J28&gt;1000000000000)</xm:f>
            <x14:dxf>
              <numFmt numFmtId="171" formatCode="###&quot;,&quot;###&quot;,&quot;###&quot;,&quot;###&quot;,&quot;###;\-###&quot;,&quot;###&quot;,&quot;###&quot;,&quot;###&quot;,&quot;###"/>
            </x14:dxf>
          </x14:cfRule>
          <x14:cfRule type="expression" priority="81" id="{022A5B9C-2109-4800-A443-3844CBAD0B59}">
            <xm:f>AND(Texte!$A$1=2,J28&gt;1000000000,J28&lt;1000000000000)</xm:f>
            <x14:dxf>
              <numFmt numFmtId="170" formatCode="###&quot;,&quot;###&quot;,&quot;###&quot;,&quot;###;\-###&quot;,&quot;###&quot;,&quot;###&quot;,&quot;###"/>
            </x14:dxf>
          </x14:cfRule>
          <x14:cfRule type="expression" priority="82" id="{73EA55D6-0753-453F-AB25-82B4183D892B}">
            <xm:f>AND(Texte!$A$1=2,J28&gt;1000000,J28&lt;1000000000)</xm:f>
            <x14:dxf>
              <numFmt numFmtId="169" formatCode="###&quot;,&quot;###&quot;,&quot;###;\-###&quot;,&quot;###&quot;,&quot;###"/>
            </x14:dxf>
          </x14:cfRule>
          <x14:cfRule type="expression" priority="83" id="{FD332A06-5172-4A25-91C4-6E4D38B42F5E}">
            <xm:f>AND(Texte!$A$1=2,J28&gt;1000,J28&lt;1000000)</xm:f>
            <x14:dxf>
              <numFmt numFmtId="168" formatCode="###&quot;,&quot;###;\-###&quot;,&quot;###"/>
            </x14:dxf>
          </x14:cfRule>
          <x14:cfRule type="expression" priority="84" id="{9D106950-AC75-4129-BAAB-16F883C78349}">
            <xm:f>AND(Texte!$A$1=2,J28&gt;1,J28&lt;1000)</xm:f>
            <x14:dxf>
              <numFmt numFmtId="167" formatCode="###;\-###"/>
            </x14:dxf>
          </x14:cfRule>
          <xm:sqref>J28</xm:sqref>
        </x14:conditionalFormatting>
        <x14:conditionalFormatting xmlns:xm="http://schemas.microsoft.com/office/excel/2006/main">
          <x14:cfRule type="expression" priority="65" id="{A4AC84FD-638B-49C4-8C68-CDED714A6022}">
            <xm:f>AND(Texte!$A$1=2,J29&lt;-1,J29&gt;-1000)</xm:f>
            <x14:dxf>
              <numFmt numFmtId="167" formatCode="###;\-###"/>
            </x14:dxf>
          </x14:cfRule>
          <x14:cfRule type="expression" priority="66" id="{AC6D971F-B0E4-47C3-9A3F-AB402843859A}">
            <xm:f>AND(Texte!$A$1=2,J29&lt;-1000,J29&gt;-1000000)</xm:f>
            <x14:dxf>
              <numFmt numFmtId="168" formatCode="###&quot;,&quot;###;\-###&quot;,&quot;###"/>
            </x14:dxf>
          </x14:cfRule>
          <x14:cfRule type="expression" priority="67" id="{AA8A9EB5-6672-461E-BA95-4EE29D369100}">
            <xm:f>AND(Texte!$A$1=2,J29&lt;-1000000,J29&gt;-1000000000)</xm:f>
            <x14:dxf>
              <numFmt numFmtId="169" formatCode="###&quot;,&quot;###&quot;,&quot;###;\-###&quot;,&quot;###&quot;,&quot;###"/>
            </x14:dxf>
          </x14:cfRule>
          <x14:cfRule type="expression" priority="68" id="{FC40946F-C1B3-4429-9565-17992F521C55}">
            <xm:f>AND(Texte!$A$1=2,J29&lt;-1000000000,J29&gt;-1000000000000)</xm:f>
            <x14:dxf>
              <numFmt numFmtId="170" formatCode="###&quot;,&quot;###&quot;,&quot;###&quot;,&quot;###;\-###&quot;,&quot;###&quot;,&quot;###&quot;,&quot;###"/>
            </x14:dxf>
          </x14:cfRule>
          <x14:cfRule type="expression" priority="69" id="{820C97D1-413C-4FD2-A173-D15718A16F79}">
            <xm:f>AND(Texte!$A$1=2,J29&lt;-1000000000000)</xm:f>
            <x14:dxf>
              <numFmt numFmtId="171" formatCode="###&quot;,&quot;###&quot;,&quot;###&quot;,&quot;###&quot;,&quot;###;\-###&quot;,&quot;###&quot;,&quot;###&quot;,&quot;###&quot;,&quot;###"/>
            </x14:dxf>
          </x14:cfRule>
          <x14:cfRule type="expression" priority="70" id="{1161E821-8D1B-42D7-BF4B-D0A0B706C3E1}">
            <xm:f>AND(Texte!$A$1=2,J29&gt;1000000000000)</xm:f>
            <x14:dxf>
              <numFmt numFmtId="171" formatCode="###&quot;,&quot;###&quot;,&quot;###&quot;,&quot;###&quot;,&quot;###;\-###&quot;,&quot;###&quot;,&quot;###&quot;,&quot;###&quot;,&quot;###"/>
            </x14:dxf>
          </x14:cfRule>
          <x14:cfRule type="expression" priority="71" id="{B66D9C18-2D22-4C2E-BB92-403354CDAB49}">
            <xm:f>AND(Texte!$A$1=2,J29&gt;1000000000,J29&lt;1000000000000)</xm:f>
            <x14:dxf>
              <numFmt numFmtId="170" formatCode="###&quot;,&quot;###&quot;,&quot;###&quot;,&quot;###;\-###&quot;,&quot;###&quot;,&quot;###&quot;,&quot;###"/>
            </x14:dxf>
          </x14:cfRule>
          <x14:cfRule type="expression" priority="72" id="{31082FE2-E574-4120-807F-0B94D8E0C644}">
            <xm:f>AND(Texte!$A$1=2,J29&gt;1000000,J29&lt;1000000000)</xm:f>
            <x14:dxf>
              <numFmt numFmtId="169" formatCode="###&quot;,&quot;###&quot;,&quot;###;\-###&quot;,&quot;###&quot;,&quot;###"/>
            </x14:dxf>
          </x14:cfRule>
          <x14:cfRule type="expression" priority="73" id="{F02756E7-4E99-45C0-8FC1-DFEF73A53AE3}">
            <xm:f>AND(Texte!$A$1=2,J29&gt;1000,J29&lt;1000000)</xm:f>
            <x14:dxf>
              <numFmt numFmtId="168" formatCode="###&quot;,&quot;###;\-###&quot;,&quot;###"/>
            </x14:dxf>
          </x14:cfRule>
          <x14:cfRule type="expression" priority="74" id="{3775F89F-AD3E-4E7B-9675-759E39987177}">
            <xm:f>AND(Texte!$A$1=2,J29&gt;1,J29&lt;1000)</xm:f>
            <x14:dxf>
              <numFmt numFmtId="167" formatCode="###;\-###"/>
            </x14:dxf>
          </x14:cfRule>
          <xm:sqref>J29</xm:sqref>
        </x14:conditionalFormatting>
        <x14:conditionalFormatting xmlns:xm="http://schemas.microsoft.com/office/excel/2006/main">
          <x14:cfRule type="expression" priority="55" id="{030AA800-4BF0-4D70-8A9B-7FC77576C95C}">
            <xm:f>AND(Texte!$A$1=2,J30&lt;-1,J30&gt;-1000)</xm:f>
            <x14:dxf>
              <numFmt numFmtId="167" formatCode="###;\-###"/>
            </x14:dxf>
          </x14:cfRule>
          <x14:cfRule type="expression" priority="56" id="{F7B88D9A-110E-46BD-8513-C87526ED1168}">
            <xm:f>AND(Texte!$A$1=2,J30&lt;-1000,J30&gt;-1000000)</xm:f>
            <x14:dxf>
              <numFmt numFmtId="168" formatCode="###&quot;,&quot;###;\-###&quot;,&quot;###"/>
            </x14:dxf>
          </x14:cfRule>
          <x14:cfRule type="expression" priority="57" id="{7A3906C1-1201-4B27-BBF2-B3F34E812D98}">
            <xm:f>AND(Texte!$A$1=2,J30&lt;-1000000,J30&gt;-1000000000)</xm:f>
            <x14:dxf>
              <numFmt numFmtId="169" formatCode="###&quot;,&quot;###&quot;,&quot;###;\-###&quot;,&quot;###&quot;,&quot;###"/>
            </x14:dxf>
          </x14:cfRule>
          <x14:cfRule type="expression" priority="58" id="{3C9615F5-3E45-481B-84D5-6D3BE745BDB1}">
            <xm:f>AND(Texte!$A$1=2,J30&lt;-1000000000,J30&gt;-1000000000000)</xm:f>
            <x14:dxf>
              <numFmt numFmtId="170" formatCode="###&quot;,&quot;###&quot;,&quot;###&quot;,&quot;###;\-###&quot;,&quot;###&quot;,&quot;###&quot;,&quot;###"/>
            </x14:dxf>
          </x14:cfRule>
          <x14:cfRule type="expression" priority="59" id="{BD30302B-DECD-4309-A361-D70BAA543892}">
            <xm:f>AND(Texte!$A$1=2,J30&lt;-1000000000000)</xm:f>
            <x14:dxf>
              <numFmt numFmtId="171" formatCode="###&quot;,&quot;###&quot;,&quot;###&quot;,&quot;###&quot;,&quot;###;\-###&quot;,&quot;###&quot;,&quot;###&quot;,&quot;###&quot;,&quot;###"/>
            </x14:dxf>
          </x14:cfRule>
          <x14:cfRule type="expression" priority="60" id="{DE929E9B-1750-423E-8E82-3495A463A511}">
            <xm:f>AND(Texte!$A$1=2,J30&gt;1000000000000)</xm:f>
            <x14:dxf>
              <numFmt numFmtId="171" formatCode="###&quot;,&quot;###&quot;,&quot;###&quot;,&quot;###&quot;,&quot;###;\-###&quot;,&quot;###&quot;,&quot;###&quot;,&quot;###&quot;,&quot;###"/>
            </x14:dxf>
          </x14:cfRule>
          <x14:cfRule type="expression" priority="61" id="{37A405F3-61CB-490D-85CD-2E48B1AD2A8E}">
            <xm:f>AND(Texte!$A$1=2,J30&gt;1000000000,J30&lt;1000000000000)</xm:f>
            <x14:dxf>
              <numFmt numFmtId="170" formatCode="###&quot;,&quot;###&quot;,&quot;###&quot;,&quot;###;\-###&quot;,&quot;###&quot;,&quot;###&quot;,&quot;###"/>
            </x14:dxf>
          </x14:cfRule>
          <x14:cfRule type="expression" priority="62" id="{07991843-65FD-4FB4-929C-67A2B2F33A83}">
            <xm:f>AND(Texte!$A$1=2,J30&gt;1000000,J30&lt;1000000000)</xm:f>
            <x14:dxf>
              <numFmt numFmtId="169" formatCode="###&quot;,&quot;###&quot;,&quot;###;\-###&quot;,&quot;###&quot;,&quot;###"/>
            </x14:dxf>
          </x14:cfRule>
          <x14:cfRule type="expression" priority="63" id="{7F406E9A-F9EF-44D3-9C1C-C65DF778B3C8}">
            <xm:f>AND(Texte!$A$1=2,J30&gt;1000,J30&lt;1000000)</xm:f>
            <x14:dxf>
              <numFmt numFmtId="168" formatCode="###&quot;,&quot;###;\-###&quot;,&quot;###"/>
            </x14:dxf>
          </x14:cfRule>
          <x14:cfRule type="expression" priority="64" id="{48A77A99-9EED-4C51-A231-DCFBEFD2B710}">
            <xm:f>AND(Texte!$A$1=2,J30&gt;1,J30&lt;1000)</xm:f>
            <x14:dxf>
              <numFmt numFmtId="167" formatCode="###;\-###"/>
            </x14:dxf>
          </x14:cfRule>
          <xm:sqref>J30 J32 J34 J36</xm:sqref>
        </x14:conditionalFormatting>
        <x14:conditionalFormatting xmlns:xm="http://schemas.microsoft.com/office/excel/2006/main">
          <x14:cfRule type="expression" priority="45" id="{6C3AF4C5-6DE2-45FB-8DB9-188F3B02EE21}">
            <xm:f>AND(Texte!$A$1=2,J31&lt;-1,J31&gt;-1000)</xm:f>
            <x14:dxf>
              <numFmt numFmtId="167" formatCode="###;\-###"/>
            </x14:dxf>
          </x14:cfRule>
          <x14:cfRule type="expression" priority="46" id="{1B6BE44F-85CA-4150-B713-7CE3CCDA46ED}">
            <xm:f>AND(Texte!$A$1=2,J31&lt;-1000,J31&gt;-1000000)</xm:f>
            <x14:dxf>
              <numFmt numFmtId="168" formatCode="###&quot;,&quot;###;\-###&quot;,&quot;###"/>
            </x14:dxf>
          </x14:cfRule>
          <x14:cfRule type="expression" priority="47" id="{DB904239-52EA-4BCB-96FA-CA911DE81BEA}">
            <xm:f>AND(Texte!$A$1=2,J31&lt;-1000000,J31&gt;-1000000000)</xm:f>
            <x14:dxf>
              <numFmt numFmtId="169" formatCode="###&quot;,&quot;###&quot;,&quot;###;\-###&quot;,&quot;###&quot;,&quot;###"/>
            </x14:dxf>
          </x14:cfRule>
          <x14:cfRule type="expression" priority="48" id="{70644D83-0DA1-453E-A88E-8BAAEAF58188}">
            <xm:f>AND(Texte!$A$1=2,J31&lt;-1000000000,J31&gt;-1000000000000)</xm:f>
            <x14:dxf>
              <numFmt numFmtId="170" formatCode="###&quot;,&quot;###&quot;,&quot;###&quot;,&quot;###;\-###&quot;,&quot;###&quot;,&quot;###&quot;,&quot;###"/>
            </x14:dxf>
          </x14:cfRule>
          <x14:cfRule type="expression" priority="49" id="{4BA4B3C5-7139-422C-8BE5-6050113596BC}">
            <xm:f>AND(Texte!$A$1=2,J31&lt;-1000000000000)</xm:f>
            <x14:dxf>
              <numFmt numFmtId="171" formatCode="###&quot;,&quot;###&quot;,&quot;###&quot;,&quot;###&quot;,&quot;###;\-###&quot;,&quot;###&quot;,&quot;###&quot;,&quot;###&quot;,&quot;###"/>
            </x14:dxf>
          </x14:cfRule>
          <x14:cfRule type="expression" priority="50" id="{C31E2226-982B-4639-B5F6-E6A86F883E5D}">
            <xm:f>AND(Texte!$A$1=2,J31&gt;1000000000000)</xm:f>
            <x14:dxf>
              <numFmt numFmtId="171" formatCode="###&quot;,&quot;###&quot;,&quot;###&quot;,&quot;###&quot;,&quot;###;\-###&quot;,&quot;###&quot;,&quot;###&quot;,&quot;###&quot;,&quot;###"/>
            </x14:dxf>
          </x14:cfRule>
          <x14:cfRule type="expression" priority="51" id="{12E7128D-8CB7-4280-A253-0D4A2EB9B83C}">
            <xm:f>AND(Texte!$A$1=2,J31&gt;1000000000,J31&lt;1000000000000)</xm:f>
            <x14:dxf>
              <numFmt numFmtId="170" formatCode="###&quot;,&quot;###&quot;,&quot;###&quot;,&quot;###;\-###&quot;,&quot;###&quot;,&quot;###&quot;,&quot;###"/>
            </x14:dxf>
          </x14:cfRule>
          <x14:cfRule type="expression" priority="52" id="{A6F01F60-814E-4C0A-91B3-DD8EFABF1451}">
            <xm:f>AND(Texte!$A$1=2,J31&gt;1000000,J31&lt;1000000000)</xm:f>
            <x14:dxf>
              <numFmt numFmtId="169" formatCode="###&quot;,&quot;###&quot;,&quot;###;\-###&quot;,&quot;###&quot;,&quot;###"/>
            </x14:dxf>
          </x14:cfRule>
          <x14:cfRule type="expression" priority="53" id="{D10A8C1A-2943-4DE7-AF3C-2313DB77E151}">
            <xm:f>AND(Texte!$A$1=2,J31&gt;1000,J31&lt;1000000)</xm:f>
            <x14:dxf>
              <numFmt numFmtId="168" formatCode="###&quot;,&quot;###;\-###&quot;,&quot;###"/>
            </x14:dxf>
          </x14:cfRule>
          <x14:cfRule type="expression" priority="54" id="{003D8140-BF74-4146-8274-651241154DB1}">
            <xm:f>AND(Texte!$A$1=2,J31&gt;1,J31&lt;1000)</xm:f>
            <x14:dxf>
              <numFmt numFmtId="167" formatCode="###;\-###"/>
            </x14:dxf>
          </x14:cfRule>
          <xm:sqref>J31 J33 J35 J37</xm:sqref>
        </x14:conditionalFormatting>
        <x14:conditionalFormatting xmlns:xm="http://schemas.microsoft.com/office/excel/2006/main">
          <x14:cfRule type="expression" priority="35" id="{2E9ADDDC-A7F5-4D34-BAD0-EF37A1F232A1}">
            <xm:f>AND(Texte!$A$1=2,J39&lt;-1,J39&gt;-1000)</xm:f>
            <x14:dxf>
              <numFmt numFmtId="167" formatCode="###;\-###"/>
            </x14:dxf>
          </x14:cfRule>
          <x14:cfRule type="expression" priority="36" id="{78CEBE54-0A6E-42E7-9F4F-88132F7DC600}">
            <xm:f>AND(Texte!$A$1=2,J39&lt;-1000,J39&gt;-1000000)</xm:f>
            <x14:dxf>
              <numFmt numFmtId="168" formatCode="###&quot;,&quot;###;\-###&quot;,&quot;###"/>
            </x14:dxf>
          </x14:cfRule>
          <x14:cfRule type="expression" priority="37" id="{54D0A419-65E6-4E0F-BEEB-A7A8228BA2B0}">
            <xm:f>AND(Texte!$A$1=2,J39&lt;-1000000,J39&gt;-1000000000)</xm:f>
            <x14:dxf>
              <numFmt numFmtId="169" formatCode="###&quot;,&quot;###&quot;,&quot;###;\-###&quot;,&quot;###&quot;,&quot;###"/>
            </x14:dxf>
          </x14:cfRule>
          <x14:cfRule type="expression" priority="38" id="{BCF87E10-5701-4C77-A6A3-7EDB5C3CFE13}">
            <xm:f>AND(Texte!$A$1=2,J39&lt;-1000000000,J39&gt;-1000000000000)</xm:f>
            <x14:dxf>
              <numFmt numFmtId="170" formatCode="###&quot;,&quot;###&quot;,&quot;###&quot;,&quot;###;\-###&quot;,&quot;###&quot;,&quot;###&quot;,&quot;###"/>
            </x14:dxf>
          </x14:cfRule>
          <x14:cfRule type="expression" priority="39" id="{1EB6A039-ABDF-41B1-B4F9-C77405A1DF18}">
            <xm:f>AND(Texte!$A$1=2,J39&lt;-1000000000000)</xm:f>
            <x14:dxf>
              <numFmt numFmtId="171" formatCode="###&quot;,&quot;###&quot;,&quot;###&quot;,&quot;###&quot;,&quot;###;\-###&quot;,&quot;###&quot;,&quot;###&quot;,&quot;###&quot;,&quot;###"/>
            </x14:dxf>
          </x14:cfRule>
          <x14:cfRule type="expression" priority="40" id="{2ECB81D0-34E9-40AD-B4B1-7A7C9D56D5AD}">
            <xm:f>AND(Texte!$A$1=2,J39&gt;1000000000000)</xm:f>
            <x14:dxf>
              <numFmt numFmtId="171" formatCode="###&quot;,&quot;###&quot;,&quot;###&quot;,&quot;###&quot;,&quot;###;\-###&quot;,&quot;###&quot;,&quot;###&quot;,&quot;###&quot;,&quot;###"/>
            </x14:dxf>
          </x14:cfRule>
          <x14:cfRule type="expression" priority="41" id="{7EADF799-C331-4208-8353-44B8309BC800}">
            <xm:f>AND(Texte!$A$1=2,J39&gt;1000000000,J39&lt;1000000000000)</xm:f>
            <x14:dxf>
              <numFmt numFmtId="170" formatCode="###&quot;,&quot;###&quot;,&quot;###&quot;,&quot;###;\-###&quot;,&quot;###&quot;,&quot;###&quot;,&quot;###"/>
            </x14:dxf>
          </x14:cfRule>
          <x14:cfRule type="expression" priority="42" id="{B5D5DF3B-2124-4620-8EF5-183D745B248E}">
            <xm:f>AND(Texte!$A$1=2,J39&gt;1000000,J39&lt;1000000000)</xm:f>
            <x14:dxf>
              <numFmt numFmtId="169" formatCode="###&quot;,&quot;###&quot;,&quot;###;\-###&quot;,&quot;###&quot;,&quot;###"/>
            </x14:dxf>
          </x14:cfRule>
          <x14:cfRule type="expression" priority="43" id="{2E23B4C4-6D19-47AB-AFB7-A208DCDF3F47}">
            <xm:f>AND(Texte!$A$1=2,J39&gt;1000,J39&lt;1000000)</xm:f>
            <x14:dxf>
              <numFmt numFmtId="168" formatCode="###&quot;,&quot;###;\-###&quot;,&quot;###"/>
            </x14:dxf>
          </x14:cfRule>
          <x14:cfRule type="expression" priority="44" id="{F173EB0C-7887-4B89-837E-2CAA6F46B85A}">
            <xm:f>AND(Texte!$A$1=2,J39&gt;1,J39&lt;1000)</xm:f>
            <x14:dxf>
              <numFmt numFmtId="167" formatCode="###;\-###"/>
            </x14:dxf>
          </x14:cfRule>
          <xm:sqref>J39</xm:sqref>
        </x14:conditionalFormatting>
        <x14:conditionalFormatting xmlns:xm="http://schemas.microsoft.com/office/excel/2006/main">
          <x14:cfRule type="expression" priority="25" id="{63CE0123-3234-4B72-B195-05509DE2FD3C}">
            <xm:f>AND(Texte!$A$1=2,J5&lt;-1,J5&gt;-1000)</xm:f>
            <x14:dxf>
              <numFmt numFmtId="167" formatCode="###;\-###"/>
            </x14:dxf>
          </x14:cfRule>
          <x14:cfRule type="expression" priority="26" id="{C568FC0E-3897-47FE-AAA7-557ED4A42714}">
            <xm:f>AND(Texte!$A$1=2,J5&lt;-1000,J5&gt;-1000000)</xm:f>
            <x14:dxf>
              <numFmt numFmtId="168" formatCode="###&quot;,&quot;###;\-###&quot;,&quot;###"/>
            </x14:dxf>
          </x14:cfRule>
          <x14:cfRule type="expression" priority="27" id="{499F2A6C-70E8-4E12-977F-7196DF44118D}">
            <xm:f>AND(Texte!$A$1=2,J5&lt;-1000000,J5&gt;-1000000000)</xm:f>
            <x14:dxf>
              <numFmt numFmtId="169" formatCode="###&quot;,&quot;###&quot;,&quot;###;\-###&quot;,&quot;###&quot;,&quot;###"/>
            </x14:dxf>
          </x14:cfRule>
          <x14:cfRule type="expression" priority="28" id="{D81E30B6-60CE-416F-857F-8FA85EBF3EF4}">
            <xm:f>AND(Texte!$A$1=2,J5&lt;-1000000000,J5&gt;-1000000000000)</xm:f>
            <x14:dxf>
              <numFmt numFmtId="170" formatCode="###&quot;,&quot;###&quot;,&quot;###&quot;,&quot;###;\-###&quot;,&quot;###&quot;,&quot;###&quot;,&quot;###"/>
            </x14:dxf>
          </x14:cfRule>
          <x14:cfRule type="expression" priority="29" id="{B3B54920-7507-4ECC-AC8A-47E96D01040A}">
            <xm:f>AND(Texte!$A$1=2,J5&lt;-1000000000000)</xm:f>
            <x14:dxf>
              <numFmt numFmtId="171" formatCode="###&quot;,&quot;###&quot;,&quot;###&quot;,&quot;###&quot;,&quot;###;\-###&quot;,&quot;###&quot;,&quot;###&quot;,&quot;###&quot;,&quot;###"/>
            </x14:dxf>
          </x14:cfRule>
          <x14:cfRule type="expression" priority="30" id="{30F53B43-BE0E-4F64-A936-4810A1E379A9}">
            <xm:f>AND(Texte!$A$1=2,J5&gt;1000000000000)</xm:f>
            <x14:dxf>
              <numFmt numFmtId="171" formatCode="###&quot;,&quot;###&quot;,&quot;###&quot;,&quot;###&quot;,&quot;###;\-###&quot;,&quot;###&quot;,&quot;###&quot;,&quot;###&quot;,&quot;###"/>
            </x14:dxf>
          </x14:cfRule>
          <x14:cfRule type="expression" priority="31" id="{E38C237D-C841-4136-A1F6-98F5BF46A100}">
            <xm:f>AND(Texte!$A$1=2,J5&gt;1000000000,J5&lt;1000000000000)</xm:f>
            <x14:dxf>
              <numFmt numFmtId="170" formatCode="###&quot;,&quot;###&quot;,&quot;###&quot;,&quot;###;\-###&quot;,&quot;###&quot;,&quot;###&quot;,&quot;###"/>
            </x14:dxf>
          </x14:cfRule>
          <x14:cfRule type="expression" priority="32" id="{BCE30E1D-7C37-4F78-A8EF-C14BC97D77AC}">
            <xm:f>AND(Texte!$A$1=2,J5&gt;1000000,J5&lt;1000000000)</xm:f>
            <x14:dxf>
              <numFmt numFmtId="169" formatCode="###&quot;,&quot;###&quot;,&quot;###;\-###&quot;,&quot;###&quot;,&quot;###"/>
            </x14:dxf>
          </x14:cfRule>
          <x14:cfRule type="expression" priority="33" id="{2AE9110D-910F-417D-BFC9-44DF5EF70F69}">
            <xm:f>AND(Texte!$A$1=2,J5&gt;1000,J5&lt;1000000)</xm:f>
            <x14:dxf>
              <numFmt numFmtId="168" formatCode="###&quot;,&quot;###;\-###&quot;,&quot;###"/>
            </x14:dxf>
          </x14:cfRule>
          <x14:cfRule type="expression" priority="34" id="{BF8BAF88-C868-4720-AD7F-447C72D5D50E}">
            <xm:f>AND(Texte!$A$1=2,J5&gt;1,J5&lt;1000)</xm:f>
            <x14:dxf>
              <numFmt numFmtId="167" formatCode="###;\-###"/>
            </x14:dxf>
          </x14:cfRule>
          <xm:sqref>J5</xm:sqref>
        </x14:conditionalFormatting>
        <x14:conditionalFormatting xmlns:xm="http://schemas.microsoft.com/office/excel/2006/main">
          <x14:cfRule type="expression" priority="15" id="{02B5A8F3-093E-4431-B07D-55CC4F91FF7F}">
            <xm:f>AND(Texte!$A$1=2,J6&lt;-1,J6&gt;-1000)</xm:f>
            <x14:dxf>
              <numFmt numFmtId="167" formatCode="###;\-###"/>
            </x14:dxf>
          </x14:cfRule>
          <x14:cfRule type="expression" priority="16" id="{B923AE5B-4949-4923-B495-812FB3853E59}">
            <xm:f>AND(Texte!$A$1=2,J6&lt;-1000,J6&gt;-1000000)</xm:f>
            <x14:dxf>
              <numFmt numFmtId="168" formatCode="###&quot;,&quot;###;\-###&quot;,&quot;###"/>
            </x14:dxf>
          </x14:cfRule>
          <x14:cfRule type="expression" priority="17" id="{073C3890-CA1D-4466-9671-4184A696EA27}">
            <xm:f>AND(Texte!$A$1=2,J6&lt;-1000000,J6&gt;-1000000000)</xm:f>
            <x14:dxf>
              <numFmt numFmtId="169" formatCode="###&quot;,&quot;###&quot;,&quot;###;\-###&quot;,&quot;###&quot;,&quot;###"/>
            </x14:dxf>
          </x14:cfRule>
          <x14:cfRule type="expression" priority="18" id="{A4EEB986-FC06-455B-9C2A-D0E7B117FB7F}">
            <xm:f>AND(Texte!$A$1=2,J6&lt;-1000000000,J6&gt;-1000000000000)</xm:f>
            <x14:dxf>
              <numFmt numFmtId="170" formatCode="###&quot;,&quot;###&quot;,&quot;###&quot;,&quot;###;\-###&quot;,&quot;###&quot;,&quot;###&quot;,&quot;###"/>
            </x14:dxf>
          </x14:cfRule>
          <x14:cfRule type="expression" priority="19" id="{3F36221D-DEEB-4C0B-AE87-7505CD751CA5}">
            <xm:f>AND(Texte!$A$1=2,J6&lt;-1000000000000)</xm:f>
            <x14:dxf>
              <numFmt numFmtId="171" formatCode="###&quot;,&quot;###&quot;,&quot;###&quot;,&quot;###&quot;,&quot;###;\-###&quot;,&quot;###&quot;,&quot;###&quot;,&quot;###&quot;,&quot;###"/>
            </x14:dxf>
          </x14:cfRule>
          <x14:cfRule type="expression" priority="20" id="{D209024C-E35E-4585-9318-0BC57A2A0A2E}">
            <xm:f>AND(Texte!$A$1=2,J6&gt;1000000000000)</xm:f>
            <x14:dxf>
              <numFmt numFmtId="171" formatCode="###&quot;,&quot;###&quot;,&quot;###&quot;,&quot;###&quot;,&quot;###;\-###&quot;,&quot;###&quot;,&quot;###&quot;,&quot;###&quot;,&quot;###"/>
            </x14:dxf>
          </x14:cfRule>
          <x14:cfRule type="expression" priority="21" id="{02E6E925-B1F7-4B9A-A956-8318FAE478A7}">
            <xm:f>AND(Texte!$A$1=2,J6&gt;1000000000,J6&lt;1000000000000)</xm:f>
            <x14:dxf>
              <numFmt numFmtId="170" formatCode="###&quot;,&quot;###&quot;,&quot;###&quot;,&quot;###;\-###&quot;,&quot;###&quot;,&quot;###&quot;,&quot;###"/>
            </x14:dxf>
          </x14:cfRule>
          <x14:cfRule type="expression" priority="22" id="{D550FA8B-99ED-47BB-A32D-FA97B7ABDBC7}">
            <xm:f>AND(Texte!$A$1=2,J6&gt;1000000,J6&lt;1000000000)</xm:f>
            <x14:dxf>
              <numFmt numFmtId="169" formatCode="###&quot;,&quot;###&quot;,&quot;###;\-###&quot;,&quot;###&quot;,&quot;###"/>
            </x14:dxf>
          </x14:cfRule>
          <x14:cfRule type="expression" priority="23" id="{50925FD3-86F3-4E65-B34D-40422FBAA02D}">
            <xm:f>AND(Texte!$A$1=2,J6&gt;1000,J6&lt;1000000)</xm:f>
            <x14:dxf>
              <numFmt numFmtId="168" formatCode="###&quot;,&quot;###;\-###&quot;,&quot;###"/>
            </x14:dxf>
          </x14:cfRule>
          <x14:cfRule type="expression" priority="24" id="{B00C7CF4-A33C-436C-B1F6-88471F086E95}">
            <xm:f>AND(Texte!$A$1=2,J6&gt;1,J6&lt;1000)</xm:f>
            <x14:dxf>
              <numFmt numFmtId="167" formatCode="###;\-###"/>
            </x14:dxf>
          </x14:cfRule>
          <xm:sqref>J6</xm:sqref>
        </x14:conditionalFormatting>
        <x14:conditionalFormatting xmlns:xm="http://schemas.microsoft.com/office/excel/2006/main">
          <x14:cfRule type="expression" priority="5" id="{17128666-7B33-4A24-AEA7-C1F2032D5BCF}">
            <xm:f>AND(Texte!$A$1=2,J7&lt;-1,J7&gt;-1000)</xm:f>
            <x14:dxf>
              <numFmt numFmtId="167" formatCode="###;\-###"/>
            </x14:dxf>
          </x14:cfRule>
          <x14:cfRule type="expression" priority="6" id="{3AE6E573-82E4-49F5-A598-B87F261554FC}">
            <xm:f>AND(Texte!$A$1=2,J7&lt;-1000,J7&gt;-1000000)</xm:f>
            <x14:dxf>
              <numFmt numFmtId="168" formatCode="###&quot;,&quot;###;\-###&quot;,&quot;###"/>
            </x14:dxf>
          </x14:cfRule>
          <x14:cfRule type="expression" priority="7" id="{49E44CDC-D850-46DC-AF05-CE414146789A}">
            <xm:f>AND(Texte!$A$1=2,J7&lt;-1000000,J7&gt;-1000000000)</xm:f>
            <x14:dxf>
              <numFmt numFmtId="169" formatCode="###&quot;,&quot;###&quot;,&quot;###;\-###&quot;,&quot;###&quot;,&quot;###"/>
            </x14:dxf>
          </x14:cfRule>
          <x14:cfRule type="expression" priority="8" id="{24C43A22-7847-45D0-A925-F63E77E4F8E1}">
            <xm:f>AND(Texte!$A$1=2,J7&lt;-1000000000,J7&gt;-1000000000000)</xm:f>
            <x14:dxf>
              <numFmt numFmtId="170" formatCode="###&quot;,&quot;###&quot;,&quot;###&quot;,&quot;###;\-###&quot;,&quot;###&quot;,&quot;###&quot;,&quot;###"/>
            </x14:dxf>
          </x14:cfRule>
          <x14:cfRule type="expression" priority="9" id="{F0C7C971-A5E7-43F6-8779-EBE7DAAC1221}">
            <xm:f>AND(Texte!$A$1=2,J7&lt;-1000000000000)</xm:f>
            <x14:dxf>
              <numFmt numFmtId="171" formatCode="###&quot;,&quot;###&quot;,&quot;###&quot;,&quot;###&quot;,&quot;###;\-###&quot;,&quot;###&quot;,&quot;###&quot;,&quot;###&quot;,&quot;###"/>
            </x14:dxf>
          </x14:cfRule>
          <x14:cfRule type="expression" priority="10" id="{7452FD18-D76E-4966-B473-B7666BF80A60}">
            <xm:f>AND(Texte!$A$1=2,J7&gt;1000000000000)</xm:f>
            <x14:dxf>
              <numFmt numFmtId="171" formatCode="###&quot;,&quot;###&quot;,&quot;###&quot;,&quot;###&quot;,&quot;###;\-###&quot;,&quot;###&quot;,&quot;###&quot;,&quot;###&quot;,&quot;###"/>
            </x14:dxf>
          </x14:cfRule>
          <x14:cfRule type="expression" priority="11" id="{7FBCB1A9-67CA-4BBF-8D87-59A4A1CA311D}">
            <xm:f>AND(Texte!$A$1=2,J7&gt;1000000000,J7&lt;1000000000000)</xm:f>
            <x14:dxf>
              <numFmt numFmtId="170" formatCode="###&quot;,&quot;###&quot;,&quot;###&quot;,&quot;###;\-###&quot;,&quot;###&quot;,&quot;###&quot;,&quot;###"/>
            </x14:dxf>
          </x14:cfRule>
          <x14:cfRule type="expression" priority="12" id="{5EB8520D-EBB8-4792-9D39-581BA3E0FA37}">
            <xm:f>AND(Texte!$A$1=2,J7&gt;1000000,J7&lt;1000000000)</xm:f>
            <x14:dxf>
              <numFmt numFmtId="169" formatCode="###&quot;,&quot;###&quot;,&quot;###;\-###&quot;,&quot;###&quot;,&quot;###"/>
            </x14:dxf>
          </x14:cfRule>
          <x14:cfRule type="expression" priority="13" id="{77B5B64D-5C3B-43AB-B877-66A043A7CB35}">
            <xm:f>AND(Texte!$A$1=2,J7&gt;1000,J7&lt;1000000)</xm:f>
            <x14:dxf>
              <numFmt numFmtId="168" formatCode="###&quot;,&quot;###;\-###&quot;,&quot;###"/>
            </x14:dxf>
          </x14:cfRule>
          <x14:cfRule type="expression" priority="14" id="{1A063083-BCFF-4AAC-8998-EC01F458BEE1}">
            <xm:f>AND(Texte!$A$1=2,J7&gt;1,J7&lt;1000)</xm:f>
            <x14:dxf>
              <numFmt numFmtId="167" formatCode="###;\-###"/>
            </x14:dxf>
          </x14:cfRule>
          <xm:sqref>J7</xm:sqref>
        </x14:conditionalFormatting>
      </x14:conditionalFormattings>
    </ext>
    <ext xmlns:x14="http://schemas.microsoft.com/office/spreadsheetml/2009/9/main" uri="{05C60535-1F16-4fd2-B633-F4F36F0B64E0}">
      <x14:sparklineGroups xmlns:xm="http://schemas.microsoft.com/office/excel/2006/main">
        <x14:sparklineGroup type="column" displayEmptyCellsAs="gap" high="1" xr2:uid="{00000000-0003-0000-0000-000001000000}">
          <x14:colorSeries rgb="FF666666"/>
          <x14:colorNegative theme="6"/>
          <x14:colorAxis rgb="FF000000"/>
          <x14:colorMarkers theme="5" tint="-0.499984740745262"/>
          <x14:colorFirst theme="5" tint="0.39997558519241921"/>
          <x14:colorLast theme="5" tint="0.39997558519241921"/>
          <x14:colorHigh rgb="FFCCCCCC"/>
          <x14:colorLow theme="5"/>
          <x14:sparklines>
            <x14:sparkline>
              <xm:f>Top10_Export_Import!$N$18:$BG$18</xm:f>
              <xm:sqref>L28</xm:sqref>
            </x14:sparkline>
            <x14:sparkline>
              <xm:f>Top10_Export_Import!$N$19:$BG$19</xm:f>
              <xm:sqref>L29</xm:sqref>
            </x14:sparkline>
            <x14:sparkline>
              <xm:f>Top10_Export_Import!$N$20:$BG$20</xm:f>
              <xm:sqref>L30</xm:sqref>
            </x14:sparkline>
            <x14:sparkline>
              <xm:f>Top10_Export_Import!$N$21:$BG$21</xm:f>
              <xm:sqref>L31</xm:sqref>
            </x14:sparkline>
            <x14:sparkline>
              <xm:f>Top10_Export_Import!$N$22:$BG$22</xm:f>
              <xm:sqref>L32</xm:sqref>
            </x14:sparkline>
            <x14:sparkline>
              <xm:f>Top10_Export_Import!$N$23:$BG$23</xm:f>
              <xm:sqref>L33</xm:sqref>
            </x14:sparkline>
            <x14:sparkline>
              <xm:f>Top10_Export_Import!$N$24:$BG$24</xm:f>
              <xm:sqref>L34</xm:sqref>
            </x14:sparkline>
            <x14:sparkline>
              <xm:f>Top10_Export_Import!$N$25:$BG$25</xm:f>
              <xm:sqref>L35</xm:sqref>
            </x14:sparkline>
            <x14:sparkline>
              <xm:f>Top10_Export_Import!$N$26:$BG$26</xm:f>
              <xm:sqref>L36</xm:sqref>
            </x14:sparkline>
            <x14:sparkline>
              <xm:f>Top10_Export_Import!$N$27:$BG$27</xm:f>
              <xm:sqref>L37</xm:sqref>
            </x14:sparkline>
            <x14:sparkline>
              <xm:f>Top10_Export_Import!$N$28:$BG$28</xm:f>
              <xm:sqref>L38</xm:sqref>
            </x14:sparkline>
            <x14:sparkline>
              <xm:f>Top10_Export_Import!$N$29:$BG$29</xm:f>
              <xm:sqref>L39</xm:sqref>
            </x14:sparkline>
          </x14:sparklines>
        </x14:sparklineGroup>
        <x14:sparklineGroup type="column" displayEmptyCellsAs="gap" high="1" xr2:uid="{00000000-0003-0000-0000-000000000000}">
          <x14:colorSeries rgb="FFE20613"/>
          <x14:colorNegative theme="5"/>
          <x14:colorAxis rgb="FF000000"/>
          <x14:colorMarkers theme="4" tint="-0.499984740745262"/>
          <x14:colorFirst theme="4" tint="0.39997558519241921"/>
          <x14:colorLast theme="4" tint="0.39997558519241921"/>
          <x14:colorHigh rgb="FFFC8086"/>
          <x14:colorLow theme="4"/>
          <x14:sparklines>
            <x14:sparkline>
              <xm:f>Top10_Export_Import!$N$3:$BG$3</xm:f>
              <xm:sqref>F28</xm:sqref>
            </x14:sparkline>
            <x14:sparkline>
              <xm:f>Top10_Export_Import!$N$4:$BG$4</xm:f>
              <xm:sqref>F29</xm:sqref>
            </x14:sparkline>
            <x14:sparkline>
              <xm:f>Top10_Export_Import!$N$5:$BG$5</xm:f>
              <xm:sqref>F30</xm:sqref>
            </x14:sparkline>
            <x14:sparkline>
              <xm:f>Top10_Export_Import!$N$6:$BG$6</xm:f>
              <xm:sqref>F31</xm:sqref>
            </x14:sparkline>
            <x14:sparkline>
              <xm:f>Top10_Export_Import!$N$7:$BG$7</xm:f>
              <xm:sqref>F32</xm:sqref>
            </x14:sparkline>
            <x14:sparkline>
              <xm:f>Top10_Export_Import!$N$8:$BG$8</xm:f>
              <xm:sqref>F33</xm:sqref>
            </x14:sparkline>
            <x14:sparkline>
              <xm:f>Top10_Export_Import!$N$9:$BG$9</xm:f>
              <xm:sqref>F34</xm:sqref>
            </x14:sparkline>
            <x14:sparkline>
              <xm:f>Top10_Export_Import!$N$10:$BG$10</xm:f>
              <xm:sqref>F35</xm:sqref>
            </x14:sparkline>
            <x14:sparkline>
              <xm:f>Top10_Export_Import!$N$11:$BG$11</xm:f>
              <xm:sqref>F36</xm:sqref>
            </x14:sparkline>
            <x14:sparkline>
              <xm:f>Top10_Export_Import!$N$12:$BG$12</xm:f>
              <xm:sqref>F37</xm:sqref>
            </x14:sparkline>
            <x14:sparkline>
              <xm:f>Top10_Export_Import!$N$13:$BG$13</xm:f>
              <xm:sqref>F38</xm:sqref>
            </x14:sparkline>
            <x14:sparkline>
              <xm:f>Top10_Export_Import!$N$14:$BG$14</xm:f>
              <xm:sqref>F39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X264"/>
  <sheetViews>
    <sheetView topLeftCell="B1" workbookViewId="0">
      <selection activeCell="E2" sqref="E2:AX264"/>
    </sheetView>
  </sheetViews>
  <sheetFormatPr baseColWidth="10" defaultRowHeight="12.5" x14ac:dyDescent="0.25"/>
  <cols>
    <col min="1" max="1" width="8.453125" customWidth="1"/>
    <col min="2" max="2" width="23.54296875" customWidth="1"/>
    <col min="3" max="3" width="7.453125" customWidth="1"/>
    <col min="4" max="4" width="6.453125" customWidth="1"/>
    <col min="5" max="15" width="12" bestFit="1" customWidth="1"/>
    <col min="16" max="32" width="12" customWidth="1"/>
    <col min="33" max="33" width="12.453125" bestFit="1" customWidth="1"/>
    <col min="34" max="34" width="12" customWidth="1"/>
    <col min="35" max="35" width="12.453125" bestFit="1" customWidth="1"/>
    <col min="36" max="36" width="12" customWidth="1"/>
    <col min="37" max="40" width="12.453125" bestFit="1" customWidth="1"/>
    <col min="43" max="43" width="12" bestFit="1" customWidth="1"/>
    <col min="44" max="44" width="12.453125" bestFit="1" customWidth="1"/>
    <col min="45" max="70" width="12" bestFit="1" customWidth="1"/>
    <col min="71" max="71" width="12.453125" bestFit="1" customWidth="1"/>
    <col min="72" max="72" width="12" bestFit="1" customWidth="1"/>
    <col min="73" max="73" width="12.453125" bestFit="1" customWidth="1"/>
    <col min="74" max="74" width="12" bestFit="1" customWidth="1"/>
    <col min="75" max="77" width="12.453125" bestFit="1" customWidth="1"/>
  </cols>
  <sheetData>
    <row r="1" spans="1:50" ht="14.5" x14ac:dyDescent="0.35">
      <c r="A1" s="67" t="s">
        <v>1</v>
      </c>
      <c r="B1" s="67" t="s">
        <v>2</v>
      </c>
      <c r="C1" s="67" t="s">
        <v>555</v>
      </c>
      <c r="D1" s="67" t="s">
        <v>556</v>
      </c>
      <c r="E1" s="67" t="s">
        <v>508</v>
      </c>
      <c r="F1" s="67" t="s">
        <v>509</v>
      </c>
      <c r="G1" s="67" t="s">
        <v>510</v>
      </c>
      <c r="H1" s="67" t="s">
        <v>511</v>
      </c>
      <c r="I1" s="67" t="s">
        <v>512</v>
      </c>
      <c r="J1" s="67" t="s">
        <v>513</v>
      </c>
      <c r="K1" s="67" t="s">
        <v>514</v>
      </c>
      <c r="L1" s="67" t="s">
        <v>515</v>
      </c>
      <c r="M1" s="67" t="s">
        <v>516</v>
      </c>
      <c r="N1" s="67" t="s">
        <v>517</v>
      </c>
      <c r="O1" s="67" t="s">
        <v>518</v>
      </c>
      <c r="P1" s="67" t="s">
        <v>519</v>
      </c>
      <c r="Q1" s="67" t="s">
        <v>520</v>
      </c>
      <c r="R1" s="67" t="s">
        <v>521</v>
      </c>
      <c r="S1" s="67" t="s">
        <v>522</v>
      </c>
      <c r="T1" s="67" t="s">
        <v>523</v>
      </c>
      <c r="U1" s="67" t="s">
        <v>524</v>
      </c>
      <c r="V1" s="67" t="s">
        <v>525</v>
      </c>
      <c r="W1" s="67" t="s">
        <v>526</v>
      </c>
      <c r="X1" s="67" t="s">
        <v>527</v>
      </c>
      <c r="Y1" s="67" t="s">
        <v>528</v>
      </c>
      <c r="Z1" s="67" t="s">
        <v>529</v>
      </c>
      <c r="AA1" s="67" t="s">
        <v>530</v>
      </c>
      <c r="AB1" s="67" t="s">
        <v>531</v>
      </c>
      <c r="AC1" s="67" t="s">
        <v>532</v>
      </c>
      <c r="AD1" s="67" t="s">
        <v>533</v>
      </c>
      <c r="AE1" s="67" t="s">
        <v>534</v>
      </c>
      <c r="AF1" s="67" t="s">
        <v>535</v>
      </c>
      <c r="AG1" s="67" t="s">
        <v>536</v>
      </c>
      <c r="AH1" s="67" t="s">
        <v>537</v>
      </c>
      <c r="AI1" s="67" t="s">
        <v>538</v>
      </c>
      <c r="AJ1" s="67" t="s">
        <v>539</v>
      </c>
      <c r="AK1" s="67" t="s">
        <v>540</v>
      </c>
      <c r="AL1" s="67" t="s">
        <v>541</v>
      </c>
      <c r="AM1" s="67" t="s">
        <v>542</v>
      </c>
      <c r="AN1" s="67" t="s">
        <v>558</v>
      </c>
      <c r="AO1" s="67" t="s">
        <v>581</v>
      </c>
      <c r="AP1" s="67" t="s">
        <v>582</v>
      </c>
      <c r="AQ1" s="67" t="s">
        <v>761</v>
      </c>
      <c r="AR1" s="67" t="s">
        <v>763</v>
      </c>
      <c r="AS1" s="67" t="s">
        <v>770</v>
      </c>
      <c r="AT1" s="67" t="s">
        <v>772</v>
      </c>
      <c r="AU1" s="67" t="s">
        <v>773</v>
      </c>
      <c r="AV1" s="67" t="s">
        <v>774</v>
      </c>
      <c r="AW1" t="s">
        <v>775</v>
      </c>
      <c r="AX1" t="s">
        <v>776</v>
      </c>
    </row>
    <row r="2" spans="1:50" ht="14.5" x14ac:dyDescent="0.35">
      <c r="A2" s="68" t="s">
        <v>3</v>
      </c>
      <c r="B2" s="68" t="str">
        <f>VLOOKUP(Tabelle_Abfrage_von_MS_Access_Database[[#This Row],[LAND]],Texte!$A$4:$C$261,Texte!$A$1+1,FALSE)</f>
        <v>Frankreich</v>
      </c>
      <c r="C2" s="68" t="s">
        <v>508</v>
      </c>
      <c r="D2" s="68" t="s">
        <v>557</v>
      </c>
      <c r="E2" s="69">
        <v>436112000</v>
      </c>
      <c r="F2" s="69">
        <v>482908000</v>
      </c>
      <c r="G2" s="69">
        <v>569513000</v>
      </c>
      <c r="H2" s="69">
        <v>652364000</v>
      </c>
      <c r="I2" s="69">
        <v>818147000</v>
      </c>
      <c r="J2" s="69">
        <v>755167000</v>
      </c>
      <c r="K2" s="69">
        <v>885485000</v>
      </c>
      <c r="L2" s="69">
        <v>1019093000</v>
      </c>
      <c r="M2" s="69">
        <v>1070163000</v>
      </c>
      <c r="N2" s="69">
        <v>1115479000</v>
      </c>
      <c r="O2" s="69">
        <v>1283819000</v>
      </c>
      <c r="P2" s="69">
        <v>1455751000</v>
      </c>
      <c r="Q2" s="69">
        <v>1608929000</v>
      </c>
      <c r="R2" s="69">
        <v>1512793000</v>
      </c>
      <c r="S2" s="69">
        <v>1552890000</v>
      </c>
      <c r="T2" s="69">
        <v>1504642000</v>
      </c>
      <c r="U2" s="69">
        <v>1696859000</v>
      </c>
      <c r="V2" s="69">
        <v>1872646347</v>
      </c>
      <c r="W2" s="69">
        <v>1903055730</v>
      </c>
      <c r="X2" s="69">
        <v>2142379002</v>
      </c>
      <c r="Y2" s="69">
        <v>2525839549</v>
      </c>
      <c r="Z2" s="69">
        <v>2671242244</v>
      </c>
      <c r="AA2" s="69">
        <v>3078325754</v>
      </c>
      <c r="AB2" s="69">
        <v>3391099295</v>
      </c>
      <c r="AC2" s="69">
        <v>3427432334</v>
      </c>
      <c r="AD2" s="69">
        <v>3509817121</v>
      </c>
      <c r="AE2" s="69">
        <v>3788029608</v>
      </c>
      <c r="AF2" s="69">
        <v>4017182848</v>
      </c>
      <c r="AG2" s="69">
        <v>3941483155</v>
      </c>
      <c r="AH2" s="69">
        <v>4134963386</v>
      </c>
      <c r="AI2" s="69">
        <v>4423449333</v>
      </c>
      <c r="AJ2" s="69">
        <v>3708895186</v>
      </c>
      <c r="AK2" s="69">
        <v>4557496911</v>
      </c>
      <c r="AL2" s="69">
        <v>4974586473</v>
      </c>
      <c r="AM2" s="69">
        <v>5641874251</v>
      </c>
      <c r="AN2" s="69">
        <v>5913620014</v>
      </c>
      <c r="AO2" s="69">
        <v>6265064195</v>
      </c>
      <c r="AP2" s="69">
        <v>5869113268</v>
      </c>
      <c r="AQ2" s="69">
        <v>5328979070</v>
      </c>
      <c r="AR2" s="69">
        <v>7008046660</v>
      </c>
      <c r="AS2" s="69">
        <v>6411340123</v>
      </c>
      <c r="AT2" s="69">
        <v>6720686876</v>
      </c>
      <c r="AU2" s="69">
        <v>6105194427</v>
      </c>
      <c r="AV2">
        <v>6280700600</v>
      </c>
      <c r="AW2">
        <v>7756651866</v>
      </c>
      <c r="AX2">
        <v>7246652249</v>
      </c>
    </row>
    <row r="3" spans="1:50" ht="14.5" x14ac:dyDescent="0.35">
      <c r="A3" s="68" t="s">
        <v>5</v>
      </c>
      <c r="B3" s="68" t="str">
        <f>VLOOKUP(Tabelle_Abfrage_von_MS_Access_Database[[#This Row],[LAND]],Texte!$A$4:$C$261,Texte!$A$1+1,FALSE)</f>
        <v>Belgien und Luxemburg</v>
      </c>
      <c r="C3" s="68" t="s">
        <v>508</v>
      </c>
      <c r="D3" s="68" t="s">
        <v>528</v>
      </c>
      <c r="E3" s="69">
        <v>191467000</v>
      </c>
      <c r="F3" s="69">
        <v>227427000</v>
      </c>
      <c r="G3" s="69">
        <v>250414000</v>
      </c>
      <c r="H3" s="69">
        <v>248273000</v>
      </c>
      <c r="I3" s="69">
        <v>299724000</v>
      </c>
      <c r="J3" s="69">
        <v>372640000</v>
      </c>
      <c r="K3" s="69">
        <v>416130000</v>
      </c>
      <c r="L3" s="69">
        <v>582634000</v>
      </c>
      <c r="M3" s="69">
        <v>651559000</v>
      </c>
      <c r="N3" s="69">
        <v>590831000</v>
      </c>
      <c r="O3" s="69">
        <v>664632000</v>
      </c>
      <c r="P3" s="69">
        <v>725510000</v>
      </c>
      <c r="Q3" s="69">
        <v>740315000</v>
      </c>
      <c r="R3" s="69">
        <v>714258000</v>
      </c>
      <c r="S3" s="69">
        <v>698463000</v>
      </c>
      <c r="T3" s="69">
        <v>644375000</v>
      </c>
      <c r="U3" s="69">
        <v>701370000</v>
      </c>
      <c r="V3" s="69">
        <v>787919733</v>
      </c>
      <c r="W3" s="69">
        <v>857998938</v>
      </c>
      <c r="X3" s="69">
        <v>895202508</v>
      </c>
      <c r="Y3" s="69">
        <v>1001914997</v>
      </c>
      <c r="Z3" s="70"/>
      <c r="AA3" s="70"/>
      <c r="AB3" s="70"/>
      <c r="AC3" s="70"/>
      <c r="AD3" s="70"/>
      <c r="AE3" s="70"/>
      <c r="AF3" s="70"/>
      <c r="AG3" s="70"/>
      <c r="AH3" s="70"/>
      <c r="AI3" s="70"/>
      <c r="AJ3" s="70"/>
      <c r="AK3" s="70"/>
      <c r="AL3" s="70"/>
      <c r="AM3" s="70"/>
      <c r="AN3" s="70"/>
      <c r="AO3" s="70"/>
      <c r="AP3" s="70"/>
      <c r="AQ3" s="70"/>
      <c r="AR3" s="70"/>
      <c r="AS3" s="70"/>
      <c r="AT3" s="70"/>
      <c r="AU3" s="70"/>
    </row>
    <row r="4" spans="1:50" ht="14.5" x14ac:dyDescent="0.35">
      <c r="A4" s="68" t="s">
        <v>7</v>
      </c>
      <c r="B4" s="68" t="str">
        <f>VLOOKUP(Tabelle_Abfrage_von_MS_Access_Database[[#This Row],[LAND]],Texte!$A$4:$C$261,Texte!$A$1+1,FALSE)</f>
        <v>Niederlande</v>
      </c>
      <c r="C4" s="68" t="s">
        <v>508</v>
      </c>
      <c r="D4" s="68" t="s">
        <v>557</v>
      </c>
      <c r="E4" s="69">
        <v>389050000</v>
      </c>
      <c r="F4" s="69">
        <v>399550000</v>
      </c>
      <c r="G4" s="69">
        <v>427599000</v>
      </c>
      <c r="H4" s="69">
        <v>431232000</v>
      </c>
      <c r="I4" s="69">
        <v>470949000</v>
      </c>
      <c r="J4" s="69">
        <v>486454000</v>
      </c>
      <c r="K4" s="69">
        <v>552201000</v>
      </c>
      <c r="L4" s="69">
        <v>605925000</v>
      </c>
      <c r="M4" s="69">
        <v>640735000</v>
      </c>
      <c r="N4" s="69">
        <v>669608000</v>
      </c>
      <c r="O4" s="69">
        <v>722515000</v>
      </c>
      <c r="P4" s="69">
        <v>923339000</v>
      </c>
      <c r="Q4" s="69">
        <v>981639000</v>
      </c>
      <c r="R4" s="69">
        <v>1045476000</v>
      </c>
      <c r="S4" s="69">
        <v>1033462000</v>
      </c>
      <c r="T4" s="69">
        <v>1005885000</v>
      </c>
      <c r="U4" s="69">
        <v>1110203000</v>
      </c>
      <c r="V4" s="69">
        <v>1202875352</v>
      </c>
      <c r="W4" s="69">
        <v>1150697430</v>
      </c>
      <c r="X4" s="69">
        <v>1402003381</v>
      </c>
      <c r="Y4" s="69">
        <v>1360669824</v>
      </c>
      <c r="Z4" s="69">
        <v>1392314235</v>
      </c>
      <c r="AA4" s="69">
        <v>1585711012</v>
      </c>
      <c r="AB4" s="69">
        <v>1763967803</v>
      </c>
      <c r="AC4" s="69">
        <v>1829111165</v>
      </c>
      <c r="AD4" s="69">
        <v>1631036976</v>
      </c>
      <c r="AE4" s="69">
        <v>1659688997</v>
      </c>
      <c r="AF4" s="69">
        <v>1699776111</v>
      </c>
      <c r="AG4" s="69">
        <v>1861891273</v>
      </c>
      <c r="AH4" s="69">
        <v>2029705322</v>
      </c>
      <c r="AI4" s="69">
        <v>2067253063</v>
      </c>
      <c r="AJ4" s="69">
        <v>1604489539</v>
      </c>
      <c r="AK4" s="69">
        <v>1718925680</v>
      </c>
      <c r="AL4" s="69">
        <v>1904975490</v>
      </c>
      <c r="AM4" s="69">
        <v>1868545349</v>
      </c>
      <c r="AN4" s="69">
        <v>2019512704</v>
      </c>
      <c r="AO4" s="69">
        <v>2142655549</v>
      </c>
      <c r="AP4" s="69">
        <v>2142587554</v>
      </c>
      <c r="AQ4" s="69">
        <v>2266478856</v>
      </c>
      <c r="AR4" s="69">
        <v>2532712400</v>
      </c>
      <c r="AS4" s="69">
        <v>2907086668</v>
      </c>
      <c r="AT4" s="69">
        <v>2944194914</v>
      </c>
      <c r="AU4" s="69">
        <v>2832408705</v>
      </c>
      <c r="AV4">
        <v>3238238397</v>
      </c>
      <c r="AW4">
        <v>3790802619</v>
      </c>
      <c r="AX4">
        <v>3661464594</v>
      </c>
    </row>
    <row r="5" spans="1:50" ht="14.5" x14ac:dyDescent="0.35">
      <c r="A5" s="68" t="s">
        <v>9</v>
      </c>
      <c r="B5" s="68" t="str">
        <f>VLOOKUP(Tabelle_Abfrage_von_MS_Access_Database[[#This Row],[LAND]],Texte!$A$4:$C$261,Texte!$A$1+1,FALSE)</f>
        <v>Deutschland</v>
      </c>
      <c r="C5" s="68" t="s">
        <v>508</v>
      </c>
      <c r="D5" s="68" t="s">
        <v>557</v>
      </c>
      <c r="E5" s="69">
        <v>3725197000</v>
      </c>
      <c r="F5" s="69">
        <v>4540913000</v>
      </c>
      <c r="G5" s="69">
        <v>5069619000</v>
      </c>
      <c r="H5" s="69">
        <v>5328028000</v>
      </c>
      <c r="I5" s="69">
        <v>5687949000</v>
      </c>
      <c r="J5" s="69">
        <v>6202415000</v>
      </c>
      <c r="K5" s="69">
        <v>6769230000</v>
      </c>
      <c r="L5" s="69">
        <v>7748290000</v>
      </c>
      <c r="M5" s="69">
        <v>8149725000</v>
      </c>
      <c r="N5" s="69">
        <v>8667774000</v>
      </c>
      <c r="O5" s="69">
        <v>9755282000</v>
      </c>
      <c r="P5" s="69">
        <v>10768157000</v>
      </c>
      <c r="Q5" s="69">
        <v>12429707000</v>
      </c>
      <c r="R5" s="69">
        <v>13589659000</v>
      </c>
      <c r="S5" s="69">
        <v>14108379000</v>
      </c>
      <c r="T5" s="69">
        <v>13244669000</v>
      </c>
      <c r="U5" s="69">
        <v>14193565000</v>
      </c>
      <c r="V5" s="69">
        <v>16167819887</v>
      </c>
      <c r="W5" s="69">
        <v>16645118116</v>
      </c>
      <c r="X5" s="69">
        <v>18230312333</v>
      </c>
      <c r="Y5" s="69">
        <v>20243073984</v>
      </c>
      <c r="Z5" s="69">
        <v>21054807054</v>
      </c>
      <c r="AA5" s="69">
        <v>23244003570</v>
      </c>
      <c r="AB5" s="69">
        <v>24160020312</v>
      </c>
      <c r="AC5" s="69">
        <v>24779810650</v>
      </c>
      <c r="AD5" s="69">
        <v>25090500369</v>
      </c>
      <c r="AE5" s="69">
        <v>28951269316</v>
      </c>
      <c r="AF5" s="69">
        <v>30108216610</v>
      </c>
      <c r="AG5" s="69">
        <v>31475202076</v>
      </c>
      <c r="AH5" s="69">
        <v>34446478249</v>
      </c>
      <c r="AI5" s="69">
        <v>35009741514</v>
      </c>
      <c r="AJ5" s="69">
        <v>29179081971</v>
      </c>
      <c r="AK5" s="69">
        <v>34529550238</v>
      </c>
      <c r="AL5" s="69">
        <v>38041817903</v>
      </c>
      <c r="AM5" s="69">
        <v>37843019420</v>
      </c>
      <c r="AN5" s="69">
        <v>37873472507</v>
      </c>
      <c r="AO5" s="69">
        <v>38082065568</v>
      </c>
      <c r="AP5" s="69">
        <v>39476866331</v>
      </c>
      <c r="AQ5" s="69">
        <v>40054745164</v>
      </c>
      <c r="AR5" s="69">
        <v>42864301982</v>
      </c>
      <c r="AS5" s="69">
        <v>45235259479</v>
      </c>
      <c r="AT5" s="69">
        <v>45032957679</v>
      </c>
      <c r="AU5" s="69">
        <v>43430562069</v>
      </c>
      <c r="AV5">
        <v>49925358895</v>
      </c>
      <c r="AW5">
        <v>58012459368</v>
      </c>
      <c r="AX5">
        <v>58504110906</v>
      </c>
    </row>
    <row r="6" spans="1:50" ht="14.5" x14ac:dyDescent="0.35">
      <c r="A6" s="68" t="s">
        <v>11</v>
      </c>
      <c r="B6" s="68" t="str">
        <f>VLOOKUP(Tabelle_Abfrage_von_MS_Access_Database[[#This Row],[LAND]],Texte!$A$4:$C$261,Texte!$A$1+1,FALSE)</f>
        <v>Italien</v>
      </c>
      <c r="C6" s="68" t="s">
        <v>508</v>
      </c>
      <c r="D6" s="68" t="s">
        <v>557</v>
      </c>
      <c r="E6" s="69">
        <v>1127909000</v>
      </c>
      <c r="F6" s="69">
        <v>1466470000</v>
      </c>
      <c r="G6" s="69">
        <v>1801478000</v>
      </c>
      <c r="H6" s="69">
        <v>1840496000</v>
      </c>
      <c r="I6" s="69">
        <v>1762036000</v>
      </c>
      <c r="J6" s="69">
        <v>1787733000</v>
      </c>
      <c r="K6" s="69">
        <v>2144375000</v>
      </c>
      <c r="L6" s="69">
        <v>2308967000</v>
      </c>
      <c r="M6" s="69">
        <v>2308458000</v>
      </c>
      <c r="N6" s="69">
        <v>2579327000</v>
      </c>
      <c r="O6" s="69">
        <v>2900055000</v>
      </c>
      <c r="P6" s="69">
        <v>3288550000</v>
      </c>
      <c r="Q6" s="69">
        <v>3327118000</v>
      </c>
      <c r="R6" s="69">
        <v>3261158000</v>
      </c>
      <c r="S6" s="69">
        <v>3119068000</v>
      </c>
      <c r="T6" s="69">
        <v>2680939000</v>
      </c>
      <c r="U6" s="69">
        <v>3022022000</v>
      </c>
      <c r="V6" s="69">
        <v>3729075785</v>
      </c>
      <c r="W6" s="69">
        <v>3702825866</v>
      </c>
      <c r="X6" s="69">
        <v>4310723952</v>
      </c>
      <c r="Y6" s="69">
        <v>4838130244</v>
      </c>
      <c r="Z6" s="69">
        <v>5064762873</v>
      </c>
      <c r="AA6" s="69">
        <v>6046104211</v>
      </c>
      <c r="AB6" s="69">
        <v>6323205275</v>
      </c>
      <c r="AC6" s="69">
        <v>6544178890</v>
      </c>
      <c r="AD6" s="69">
        <v>7074134269</v>
      </c>
      <c r="AE6" s="69">
        <v>7706295305</v>
      </c>
      <c r="AF6" s="69">
        <v>8186815366</v>
      </c>
      <c r="AG6" s="69">
        <v>9234918396</v>
      </c>
      <c r="AH6" s="69">
        <v>10231175764</v>
      </c>
      <c r="AI6" s="69">
        <v>10084932779</v>
      </c>
      <c r="AJ6" s="69">
        <v>7586451892</v>
      </c>
      <c r="AK6" s="69">
        <v>8575527314</v>
      </c>
      <c r="AL6" s="69">
        <v>9345492769</v>
      </c>
      <c r="AM6" s="69">
        <v>8447269795</v>
      </c>
      <c r="AN6" s="69">
        <v>8228252534</v>
      </c>
      <c r="AO6" s="69">
        <v>8237297108</v>
      </c>
      <c r="AP6" s="69">
        <v>8258952874</v>
      </c>
      <c r="AQ6" s="69">
        <v>8373375941</v>
      </c>
      <c r="AR6" s="69">
        <v>9102907933</v>
      </c>
      <c r="AS6" s="69">
        <v>9761904279</v>
      </c>
      <c r="AT6" s="69">
        <v>9753739269</v>
      </c>
      <c r="AU6" s="69">
        <v>8823059395</v>
      </c>
      <c r="AV6">
        <v>11210808987</v>
      </c>
      <c r="AW6">
        <v>13244237863</v>
      </c>
      <c r="AX6">
        <v>12362221392</v>
      </c>
    </row>
    <row r="7" spans="1:50" ht="14.5" x14ac:dyDescent="0.35">
      <c r="A7" s="68" t="s">
        <v>13</v>
      </c>
      <c r="B7" s="68" t="str">
        <f>VLOOKUP(Tabelle_Abfrage_von_MS_Access_Database[[#This Row],[LAND]],Texte!$A$4:$C$261,Texte!$A$1+1,FALSE)</f>
        <v>Vereinigtes Königreich</v>
      </c>
      <c r="C7" s="68" t="s">
        <v>508</v>
      </c>
      <c r="D7" s="68" t="s">
        <v>557</v>
      </c>
      <c r="E7" s="69">
        <v>630900000</v>
      </c>
      <c r="F7" s="69">
        <v>667193000</v>
      </c>
      <c r="G7" s="69">
        <v>603188000</v>
      </c>
      <c r="H7" s="69">
        <v>765210000</v>
      </c>
      <c r="I7" s="69">
        <v>838240000</v>
      </c>
      <c r="J7" s="69">
        <v>822678000</v>
      </c>
      <c r="K7" s="69">
        <v>1002155000</v>
      </c>
      <c r="L7" s="69">
        <v>1182897000</v>
      </c>
      <c r="M7" s="69">
        <v>1111654000</v>
      </c>
      <c r="N7" s="69">
        <v>1137304000</v>
      </c>
      <c r="O7" s="69">
        <v>1316002000</v>
      </c>
      <c r="P7" s="69">
        <v>1404374000</v>
      </c>
      <c r="Q7" s="69">
        <v>1312560000</v>
      </c>
      <c r="R7" s="69">
        <v>1259373000</v>
      </c>
      <c r="S7" s="69">
        <v>1264972000</v>
      </c>
      <c r="T7" s="69">
        <v>1109435000</v>
      </c>
      <c r="U7" s="69">
        <v>1178979000</v>
      </c>
      <c r="V7" s="69">
        <v>1392387134</v>
      </c>
      <c r="W7" s="69">
        <v>1573315677</v>
      </c>
      <c r="X7" s="69">
        <v>2154046254</v>
      </c>
      <c r="Y7" s="69">
        <v>2359306175</v>
      </c>
      <c r="Z7" s="69">
        <v>2650535926</v>
      </c>
      <c r="AA7" s="69">
        <v>3038795788</v>
      </c>
      <c r="AB7" s="69">
        <v>3466960960</v>
      </c>
      <c r="AC7" s="69">
        <v>3607976993</v>
      </c>
      <c r="AD7" s="69">
        <v>3484169216</v>
      </c>
      <c r="AE7" s="69">
        <v>3764566984</v>
      </c>
      <c r="AF7" s="69">
        <v>3845167607</v>
      </c>
      <c r="AG7" s="69">
        <v>3922360773</v>
      </c>
      <c r="AH7" s="69">
        <v>4050220121</v>
      </c>
      <c r="AI7" s="69">
        <v>3686392363</v>
      </c>
      <c r="AJ7" s="69">
        <v>2870517931</v>
      </c>
      <c r="AK7" s="69">
        <v>3318961085</v>
      </c>
      <c r="AL7" s="69">
        <v>3553249925</v>
      </c>
      <c r="AM7" s="69">
        <v>3405810028</v>
      </c>
      <c r="AN7" s="69">
        <v>3601743627</v>
      </c>
      <c r="AO7" s="69">
        <v>3943068858</v>
      </c>
      <c r="AP7" s="69">
        <v>4179384121</v>
      </c>
      <c r="AQ7" s="69">
        <v>4102781208</v>
      </c>
      <c r="AR7" s="69">
        <v>3905289812</v>
      </c>
      <c r="AS7" s="69">
        <v>4198041634</v>
      </c>
      <c r="AT7" s="69">
        <v>4496351870</v>
      </c>
      <c r="AU7" s="69">
        <v>4079583898</v>
      </c>
      <c r="AV7">
        <v>4440437762</v>
      </c>
      <c r="AW7">
        <v>5105837215</v>
      </c>
      <c r="AX7">
        <v>5447218089</v>
      </c>
    </row>
    <row r="8" spans="1:50" ht="14.5" x14ac:dyDescent="0.35">
      <c r="A8" s="68" t="s">
        <v>15</v>
      </c>
      <c r="B8" s="68" t="str">
        <f>VLOOKUP(Tabelle_Abfrage_von_MS_Access_Database[[#This Row],[LAND]],Texte!$A$4:$C$261,Texte!$A$1+1,FALSE)</f>
        <v>Irland</v>
      </c>
      <c r="C8" s="68" t="s">
        <v>508</v>
      </c>
      <c r="D8" s="68" t="s">
        <v>557</v>
      </c>
      <c r="E8" s="69">
        <v>19950000</v>
      </c>
      <c r="F8" s="69">
        <v>27432000</v>
      </c>
      <c r="G8" s="69">
        <v>26619000</v>
      </c>
      <c r="H8" s="69">
        <v>36799000</v>
      </c>
      <c r="I8" s="69">
        <v>38788000</v>
      </c>
      <c r="J8" s="69">
        <v>40340000</v>
      </c>
      <c r="K8" s="69">
        <v>45918000</v>
      </c>
      <c r="L8" s="69">
        <v>42432000</v>
      </c>
      <c r="M8" s="69">
        <v>39612000</v>
      </c>
      <c r="N8" s="69">
        <v>41116000</v>
      </c>
      <c r="O8" s="69">
        <v>42820000</v>
      </c>
      <c r="P8" s="69">
        <v>50911000</v>
      </c>
      <c r="Q8" s="69">
        <v>55854000</v>
      </c>
      <c r="R8" s="69">
        <v>66957000</v>
      </c>
      <c r="S8" s="69">
        <v>67277000</v>
      </c>
      <c r="T8" s="69">
        <v>67937000</v>
      </c>
      <c r="U8" s="69">
        <v>79954000</v>
      </c>
      <c r="V8" s="69">
        <v>96815187</v>
      </c>
      <c r="W8" s="69">
        <v>96392953</v>
      </c>
      <c r="X8" s="69">
        <v>123039254</v>
      </c>
      <c r="Y8" s="69">
        <v>177689912</v>
      </c>
      <c r="Z8" s="69">
        <v>167540950</v>
      </c>
      <c r="AA8" s="69">
        <v>194056356</v>
      </c>
      <c r="AB8" s="69">
        <v>212307290</v>
      </c>
      <c r="AC8" s="69">
        <v>218946537</v>
      </c>
      <c r="AD8" s="69">
        <v>216665231</v>
      </c>
      <c r="AE8" s="69">
        <v>632239740</v>
      </c>
      <c r="AF8" s="69">
        <v>221148404</v>
      </c>
      <c r="AG8" s="69">
        <v>340585308</v>
      </c>
      <c r="AH8" s="69">
        <v>317131397</v>
      </c>
      <c r="AI8" s="69">
        <v>263113976</v>
      </c>
      <c r="AJ8" s="69">
        <v>230187149</v>
      </c>
      <c r="AK8" s="69">
        <v>198165296</v>
      </c>
      <c r="AL8" s="69">
        <v>208802507</v>
      </c>
      <c r="AM8" s="69">
        <v>392671812</v>
      </c>
      <c r="AN8" s="69">
        <v>873498816</v>
      </c>
      <c r="AO8" s="69">
        <v>289783862</v>
      </c>
      <c r="AP8" s="69">
        <v>258589167</v>
      </c>
      <c r="AQ8" s="69">
        <v>253550265</v>
      </c>
      <c r="AR8" s="69">
        <v>286927372</v>
      </c>
      <c r="AS8" s="69">
        <v>305944205</v>
      </c>
      <c r="AT8" s="69">
        <v>342778045</v>
      </c>
      <c r="AU8" s="69">
        <v>305416163</v>
      </c>
      <c r="AV8">
        <v>412858787</v>
      </c>
      <c r="AW8">
        <v>512379642</v>
      </c>
      <c r="AX8">
        <v>1428043343</v>
      </c>
    </row>
    <row r="9" spans="1:50" ht="14.5" x14ac:dyDescent="0.35">
      <c r="A9" s="68" t="s">
        <v>17</v>
      </c>
      <c r="B9" s="68" t="str">
        <f>VLOOKUP(Tabelle_Abfrage_von_MS_Access_Database[[#This Row],[LAND]],Texte!$A$4:$C$261,Texte!$A$1+1,FALSE)</f>
        <v>Dänemark</v>
      </c>
      <c r="C9" s="68" t="s">
        <v>508</v>
      </c>
      <c r="D9" s="68" t="s">
        <v>557</v>
      </c>
      <c r="E9" s="69">
        <v>190195000</v>
      </c>
      <c r="F9" s="69">
        <v>213333000</v>
      </c>
      <c r="G9" s="69">
        <v>188231000</v>
      </c>
      <c r="H9" s="69">
        <v>199874000</v>
      </c>
      <c r="I9" s="69">
        <v>220882000</v>
      </c>
      <c r="J9" s="69">
        <v>204724000</v>
      </c>
      <c r="K9" s="69">
        <v>241983000</v>
      </c>
      <c r="L9" s="69">
        <v>279529000</v>
      </c>
      <c r="M9" s="69">
        <v>298241000</v>
      </c>
      <c r="N9" s="69">
        <v>277016000</v>
      </c>
      <c r="O9" s="69">
        <v>279219000</v>
      </c>
      <c r="P9" s="69">
        <v>290509000</v>
      </c>
      <c r="Q9" s="69">
        <v>315309000</v>
      </c>
      <c r="R9" s="69">
        <v>327524000</v>
      </c>
      <c r="S9" s="69">
        <v>319179000</v>
      </c>
      <c r="T9" s="69">
        <v>297890000</v>
      </c>
      <c r="U9" s="69">
        <v>318544000</v>
      </c>
      <c r="V9" s="69">
        <v>360596531</v>
      </c>
      <c r="W9" s="69">
        <v>355276975</v>
      </c>
      <c r="X9" s="69">
        <v>396650999</v>
      </c>
      <c r="Y9" s="69">
        <v>464647782</v>
      </c>
      <c r="Z9" s="69">
        <v>471091307</v>
      </c>
      <c r="AA9" s="69">
        <v>513189602</v>
      </c>
      <c r="AB9" s="69">
        <v>544587239</v>
      </c>
      <c r="AC9" s="69">
        <v>560004063</v>
      </c>
      <c r="AD9" s="69">
        <v>535085182</v>
      </c>
      <c r="AE9" s="69">
        <v>601215301</v>
      </c>
      <c r="AF9" s="69">
        <v>653260498</v>
      </c>
      <c r="AG9" s="69">
        <v>725722495</v>
      </c>
      <c r="AH9" s="69">
        <v>789956937</v>
      </c>
      <c r="AI9" s="69">
        <v>852150339</v>
      </c>
      <c r="AJ9" s="69">
        <v>528856008</v>
      </c>
      <c r="AK9" s="69">
        <v>593198105</v>
      </c>
      <c r="AL9" s="69">
        <v>632284869</v>
      </c>
      <c r="AM9" s="69">
        <v>693892893</v>
      </c>
      <c r="AN9" s="69">
        <v>672720635</v>
      </c>
      <c r="AO9" s="69">
        <v>700500555</v>
      </c>
      <c r="AP9" s="69">
        <v>701601990</v>
      </c>
      <c r="AQ9" s="69">
        <v>725826210</v>
      </c>
      <c r="AR9" s="69">
        <v>719344369</v>
      </c>
      <c r="AS9" s="69">
        <v>743190669</v>
      </c>
      <c r="AT9" s="69">
        <v>786288745</v>
      </c>
      <c r="AU9" s="69">
        <v>815626169</v>
      </c>
      <c r="AV9">
        <v>1007505720</v>
      </c>
      <c r="AW9">
        <v>1400460809</v>
      </c>
      <c r="AX9">
        <v>1239129146</v>
      </c>
    </row>
    <row r="10" spans="1:50" ht="14.5" x14ac:dyDescent="0.35">
      <c r="A10" s="68" t="s">
        <v>19</v>
      </c>
      <c r="B10" s="68" t="str">
        <f>VLOOKUP(Tabelle_Abfrage_von_MS_Access_Database[[#This Row],[LAND]],Texte!$A$4:$C$261,Texte!$A$1+1,FALSE)</f>
        <v>Griechenland</v>
      </c>
      <c r="C10" s="68" t="s">
        <v>508</v>
      </c>
      <c r="D10" s="68" t="s">
        <v>557</v>
      </c>
      <c r="E10" s="69">
        <v>119821000</v>
      </c>
      <c r="F10" s="69">
        <v>140557000</v>
      </c>
      <c r="G10" s="69">
        <v>129700000</v>
      </c>
      <c r="H10" s="69">
        <v>165310000</v>
      </c>
      <c r="I10" s="69">
        <v>156816000</v>
      </c>
      <c r="J10" s="69">
        <v>140461000</v>
      </c>
      <c r="K10" s="69">
        <v>133948000</v>
      </c>
      <c r="L10" s="69">
        <v>179909000</v>
      </c>
      <c r="M10" s="69">
        <v>119788000</v>
      </c>
      <c r="N10" s="69">
        <v>138378000</v>
      </c>
      <c r="O10" s="69">
        <v>167872000</v>
      </c>
      <c r="P10" s="69">
        <v>200628000</v>
      </c>
      <c r="Q10" s="69">
        <v>194806000</v>
      </c>
      <c r="R10" s="69">
        <v>204380000</v>
      </c>
      <c r="S10" s="69">
        <v>225603000</v>
      </c>
      <c r="T10" s="69">
        <v>171128000</v>
      </c>
      <c r="U10" s="69">
        <v>170806000</v>
      </c>
      <c r="V10" s="69">
        <v>237195905</v>
      </c>
      <c r="W10" s="69">
        <v>212442092</v>
      </c>
      <c r="X10" s="69">
        <v>231592691</v>
      </c>
      <c r="Y10" s="69">
        <v>251701513</v>
      </c>
      <c r="Z10" s="69">
        <v>293778216</v>
      </c>
      <c r="AA10" s="69">
        <v>321377490</v>
      </c>
      <c r="AB10" s="69">
        <v>362226192</v>
      </c>
      <c r="AC10" s="69">
        <v>461227943</v>
      </c>
      <c r="AD10" s="69">
        <v>524323168</v>
      </c>
      <c r="AE10" s="69">
        <v>463469190</v>
      </c>
      <c r="AF10" s="69">
        <v>456166306</v>
      </c>
      <c r="AG10" s="69">
        <v>576493358</v>
      </c>
      <c r="AH10" s="69">
        <v>708150674</v>
      </c>
      <c r="AI10" s="69">
        <v>753366906</v>
      </c>
      <c r="AJ10" s="69">
        <v>582438712</v>
      </c>
      <c r="AK10" s="69">
        <v>512382141</v>
      </c>
      <c r="AL10" s="69">
        <v>434579715</v>
      </c>
      <c r="AM10" s="69">
        <v>393437332</v>
      </c>
      <c r="AN10" s="69">
        <v>386671982</v>
      </c>
      <c r="AO10" s="69">
        <v>412337190</v>
      </c>
      <c r="AP10" s="69">
        <v>377517964</v>
      </c>
      <c r="AQ10" s="69">
        <v>427194262</v>
      </c>
      <c r="AR10" s="69">
        <v>425647860</v>
      </c>
      <c r="AS10" s="69">
        <v>430674023</v>
      </c>
      <c r="AT10" s="69">
        <v>534484249</v>
      </c>
      <c r="AU10" s="69">
        <v>491552798</v>
      </c>
      <c r="AV10">
        <v>581293271</v>
      </c>
      <c r="AW10">
        <v>728312854</v>
      </c>
      <c r="AX10">
        <v>716861727</v>
      </c>
    </row>
    <row r="11" spans="1:50" ht="14.5" x14ac:dyDescent="0.35">
      <c r="A11" s="68" t="s">
        <v>21</v>
      </c>
      <c r="B11" s="68" t="str">
        <f>VLOOKUP(Tabelle_Abfrage_von_MS_Access_Database[[#This Row],[LAND]],Texte!$A$4:$C$261,Texte!$A$1+1,FALSE)</f>
        <v>Portugal</v>
      </c>
      <c r="C11" s="68" t="s">
        <v>508</v>
      </c>
      <c r="D11" s="68" t="s">
        <v>557</v>
      </c>
      <c r="E11" s="69">
        <v>51828000</v>
      </c>
      <c r="F11" s="69">
        <v>46562000</v>
      </c>
      <c r="G11" s="69">
        <v>54324000</v>
      </c>
      <c r="H11" s="69">
        <v>66859000</v>
      </c>
      <c r="I11" s="69">
        <v>70928000</v>
      </c>
      <c r="J11" s="69">
        <v>53940000</v>
      </c>
      <c r="K11" s="69">
        <v>56223000</v>
      </c>
      <c r="L11" s="69">
        <v>70649000</v>
      </c>
      <c r="M11" s="69">
        <v>94664000</v>
      </c>
      <c r="N11" s="69">
        <v>100599000</v>
      </c>
      <c r="O11" s="69">
        <v>110895000</v>
      </c>
      <c r="P11" s="69">
        <v>130858000</v>
      </c>
      <c r="Q11" s="69">
        <v>138084000</v>
      </c>
      <c r="R11" s="69">
        <v>154959000</v>
      </c>
      <c r="S11" s="69">
        <v>181043000</v>
      </c>
      <c r="T11" s="69">
        <v>164276000</v>
      </c>
      <c r="U11" s="69">
        <v>160390000</v>
      </c>
      <c r="V11" s="69">
        <v>167497650</v>
      </c>
      <c r="W11" s="69">
        <v>185707815</v>
      </c>
      <c r="X11" s="69">
        <v>216905643</v>
      </c>
      <c r="Y11" s="69">
        <v>230731378</v>
      </c>
      <c r="Z11" s="69">
        <v>267596547</v>
      </c>
      <c r="AA11" s="69">
        <v>340887961</v>
      </c>
      <c r="AB11" s="69">
        <v>344224924</v>
      </c>
      <c r="AC11" s="69">
        <v>320096870</v>
      </c>
      <c r="AD11" s="69">
        <v>357571585</v>
      </c>
      <c r="AE11" s="69">
        <v>340445715</v>
      </c>
      <c r="AF11" s="69">
        <v>349851900</v>
      </c>
      <c r="AG11" s="69">
        <v>430532750</v>
      </c>
      <c r="AH11" s="69">
        <v>474689121</v>
      </c>
      <c r="AI11" s="69">
        <v>374042650</v>
      </c>
      <c r="AJ11" s="69">
        <v>394892268</v>
      </c>
      <c r="AK11" s="69">
        <v>339051225</v>
      </c>
      <c r="AL11" s="69">
        <v>313480608</v>
      </c>
      <c r="AM11" s="69">
        <v>311856671</v>
      </c>
      <c r="AN11" s="69">
        <v>272549473</v>
      </c>
      <c r="AO11" s="69">
        <v>297843809</v>
      </c>
      <c r="AP11" s="69">
        <v>316092164</v>
      </c>
      <c r="AQ11" s="69">
        <v>319975946</v>
      </c>
      <c r="AR11" s="69">
        <v>397101589</v>
      </c>
      <c r="AS11" s="69">
        <v>415089678</v>
      </c>
      <c r="AT11" s="69">
        <v>443977793</v>
      </c>
      <c r="AU11" s="69">
        <v>377606053</v>
      </c>
      <c r="AV11">
        <v>463757074</v>
      </c>
      <c r="AW11">
        <v>526949433</v>
      </c>
      <c r="AX11">
        <v>551792033</v>
      </c>
    </row>
    <row r="12" spans="1:50" ht="14.5" x14ac:dyDescent="0.35">
      <c r="A12" s="68" t="s">
        <v>23</v>
      </c>
      <c r="B12" s="68" t="str">
        <f>VLOOKUP(Tabelle_Abfrage_von_MS_Access_Database[[#This Row],[LAND]],Texte!$A$4:$C$261,Texte!$A$1+1,FALSE)</f>
        <v>Spanien</v>
      </c>
      <c r="C12" s="68" t="s">
        <v>508</v>
      </c>
      <c r="D12" s="68" t="s">
        <v>557</v>
      </c>
      <c r="E12" s="69">
        <v>72895000</v>
      </c>
      <c r="F12" s="69">
        <v>94085000</v>
      </c>
      <c r="G12" s="69">
        <v>109634000</v>
      </c>
      <c r="H12" s="69">
        <v>128696000</v>
      </c>
      <c r="I12" s="69">
        <v>165241000</v>
      </c>
      <c r="J12" s="69">
        <v>333142000</v>
      </c>
      <c r="K12" s="69">
        <v>344851000</v>
      </c>
      <c r="L12" s="69">
        <v>406402000</v>
      </c>
      <c r="M12" s="69">
        <v>474101000</v>
      </c>
      <c r="N12" s="69">
        <v>455736000</v>
      </c>
      <c r="O12" s="69">
        <v>535143000</v>
      </c>
      <c r="P12" s="69">
        <v>682140000</v>
      </c>
      <c r="Q12" s="69">
        <v>734964000</v>
      </c>
      <c r="R12" s="69">
        <v>780783000</v>
      </c>
      <c r="S12" s="69">
        <v>839874000</v>
      </c>
      <c r="T12" s="69">
        <v>707090000</v>
      </c>
      <c r="U12" s="69">
        <v>797814000</v>
      </c>
      <c r="V12" s="69">
        <v>884439774</v>
      </c>
      <c r="W12" s="69">
        <v>991121638</v>
      </c>
      <c r="X12" s="69">
        <v>1172895867</v>
      </c>
      <c r="Y12" s="69">
        <v>1515901519</v>
      </c>
      <c r="Z12" s="69">
        <v>1750145043</v>
      </c>
      <c r="AA12" s="69">
        <v>1852124513</v>
      </c>
      <c r="AB12" s="69">
        <v>1853789501</v>
      </c>
      <c r="AC12" s="69">
        <v>2121099246</v>
      </c>
      <c r="AD12" s="69">
        <v>2017799049</v>
      </c>
      <c r="AE12" s="69">
        <v>2214203536</v>
      </c>
      <c r="AF12" s="69">
        <v>2614595179</v>
      </c>
      <c r="AG12" s="69">
        <v>2896409975</v>
      </c>
      <c r="AH12" s="69">
        <v>3279842919</v>
      </c>
      <c r="AI12" s="69">
        <v>2815586436</v>
      </c>
      <c r="AJ12" s="69">
        <v>1750964967</v>
      </c>
      <c r="AK12" s="69">
        <v>2003325150</v>
      </c>
      <c r="AL12" s="69">
        <v>1957522491</v>
      </c>
      <c r="AM12" s="69">
        <v>1861667308</v>
      </c>
      <c r="AN12" s="69">
        <v>1952222693</v>
      </c>
      <c r="AO12" s="69">
        <v>2140177172</v>
      </c>
      <c r="AP12" s="69">
        <v>2290609173</v>
      </c>
      <c r="AQ12" s="69">
        <v>2379283063</v>
      </c>
      <c r="AR12" s="69">
        <v>2445930349</v>
      </c>
      <c r="AS12" s="69">
        <v>2636557414</v>
      </c>
      <c r="AT12" s="69">
        <v>2486079376</v>
      </c>
      <c r="AU12" s="69">
        <v>1964127379</v>
      </c>
      <c r="AV12">
        <v>2488197111</v>
      </c>
      <c r="AW12">
        <v>2925298715</v>
      </c>
      <c r="AX12">
        <v>3160742356</v>
      </c>
    </row>
    <row r="13" spans="1:50" ht="14.5" x14ac:dyDescent="0.35">
      <c r="A13" s="68" t="s">
        <v>25</v>
      </c>
      <c r="B13" s="68" t="str">
        <f>VLOOKUP(Tabelle_Abfrage_von_MS_Access_Database[[#This Row],[LAND]],Texte!$A$4:$C$261,Texte!$A$1+1,FALSE)</f>
        <v>Belgien</v>
      </c>
      <c r="C13" s="68" t="s">
        <v>529</v>
      </c>
      <c r="D13" s="68" t="s">
        <v>557</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70"/>
      <c r="W13" s="70"/>
      <c r="X13" s="70"/>
      <c r="Y13" s="70"/>
      <c r="Z13" s="69">
        <v>897911143</v>
      </c>
      <c r="AA13" s="69">
        <v>1046639526</v>
      </c>
      <c r="AB13" s="69">
        <v>1285364116</v>
      </c>
      <c r="AC13" s="69">
        <v>1226833131</v>
      </c>
      <c r="AD13" s="69">
        <v>1260143038</v>
      </c>
      <c r="AE13" s="69">
        <v>1283597958</v>
      </c>
      <c r="AF13" s="69">
        <v>1601583682</v>
      </c>
      <c r="AG13" s="69">
        <v>1666332805</v>
      </c>
      <c r="AH13" s="69">
        <v>1632057704</v>
      </c>
      <c r="AI13" s="69">
        <v>1710536377</v>
      </c>
      <c r="AJ13" s="69">
        <v>1413759956</v>
      </c>
      <c r="AK13" s="69">
        <v>1500477423</v>
      </c>
      <c r="AL13" s="69">
        <v>1707281251</v>
      </c>
      <c r="AM13" s="69">
        <v>1701200133</v>
      </c>
      <c r="AN13" s="69">
        <v>1691062723</v>
      </c>
      <c r="AO13" s="69">
        <v>1709641797</v>
      </c>
      <c r="AP13" s="69">
        <v>1674877251</v>
      </c>
      <c r="AQ13" s="69">
        <v>1601751934</v>
      </c>
      <c r="AR13" s="69">
        <v>1769704877</v>
      </c>
      <c r="AS13" s="69">
        <v>2121566750</v>
      </c>
      <c r="AT13" s="69">
        <v>2821038285</v>
      </c>
      <c r="AU13" s="69">
        <v>2573353605</v>
      </c>
      <c r="AV13">
        <v>2891418126</v>
      </c>
      <c r="AW13">
        <v>3005337070</v>
      </c>
      <c r="AX13">
        <v>7481609999</v>
      </c>
    </row>
    <row r="14" spans="1:50" ht="14.5" x14ac:dyDescent="0.35">
      <c r="A14" s="68" t="s">
        <v>27</v>
      </c>
      <c r="B14" s="68" t="str">
        <f>VLOOKUP(Tabelle_Abfrage_von_MS_Access_Database[[#This Row],[LAND]],Texte!$A$4:$C$261,Texte!$A$1+1,FALSE)</f>
        <v>Luxemburg</v>
      </c>
      <c r="C14" s="68" t="s">
        <v>529</v>
      </c>
      <c r="D14" s="68" t="s">
        <v>557</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70"/>
      <c r="W14" s="70"/>
      <c r="X14" s="70"/>
      <c r="Y14" s="70"/>
      <c r="Z14" s="69">
        <v>89526519</v>
      </c>
      <c r="AA14" s="69">
        <v>121926924</v>
      </c>
      <c r="AB14" s="69">
        <v>163548242</v>
      </c>
      <c r="AC14" s="69">
        <v>139230778</v>
      </c>
      <c r="AD14" s="69">
        <v>127192106</v>
      </c>
      <c r="AE14" s="69">
        <v>286823966</v>
      </c>
      <c r="AF14" s="69">
        <v>174315729</v>
      </c>
      <c r="AG14" s="69">
        <v>167092123</v>
      </c>
      <c r="AH14" s="69">
        <v>167326760</v>
      </c>
      <c r="AI14" s="69">
        <v>138611414</v>
      </c>
      <c r="AJ14" s="69">
        <v>98291881</v>
      </c>
      <c r="AK14" s="69">
        <v>131962930</v>
      </c>
      <c r="AL14" s="69">
        <v>154056548</v>
      </c>
      <c r="AM14" s="69">
        <v>183623271</v>
      </c>
      <c r="AN14" s="69">
        <v>192888197</v>
      </c>
      <c r="AO14" s="69">
        <v>164837720</v>
      </c>
      <c r="AP14" s="69">
        <v>161072551</v>
      </c>
      <c r="AQ14" s="69">
        <v>153289736</v>
      </c>
      <c r="AR14" s="69">
        <v>166581527</v>
      </c>
      <c r="AS14" s="69">
        <v>182367772</v>
      </c>
      <c r="AT14" s="69">
        <v>184441569</v>
      </c>
      <c r="AU14" s="69">
        <v>186182818</v>
      </c>
      <c r="AV14">
        <v>194225382</v>
      </c>
      <c r="AW14">
        <v>225211444</v>
      </c>
      <c r="AX14">
        <v>225656440</v>
      </c>
    </row>
    <row r="15" spans="1:50" ht="14.5" x14ac:dyDescent="0.35">
      <c r="A15" s="68" t="s">
        <v>29</v>
      </c>
      <c r="B15" s="68" t="str">
        <f>VLOOKUP(Tabelle_Abfrage_von_MS_Access_Database[[#This Row],[LAND]],Texte!$A$4:$C$261,Texte!$A$1+1,FALSE)</f>
        <v>Ceuta</v>
      </c>
      <c r="C15" s="68" t="s">
        <v>529</v>
      </c>
      <c r="D15" s="68" t="s">
        <v>557</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70"/>
      <c r="W15" s="70"/>
      <c r="X15" s="70"/>
      <c r="Y15" s="70"/>
      <c r="Z15" s="69">
        <v>223251</v>
      </c>
      <c r="AA15" s="69">
        <v>316490</v>
      </c>
      <c r="AB15" s="69">
        <v>348160</v>
      </c>
      <c r="AC15" s="69">
        <v>259574</v>
      </c>
      <c r="AD15" s="69">
        <v>196136</v>
      </c>
      <c r="AE15" s="69">
        <v>323143</v>
      </c>
      <c r="AF15" s="69">
        <v>400007</v>
      </c>
      <c r="AG15" s="69">
        <v>436483</v>
      </c>
      <c r="AH15" s="69">
        <v>353712</v>
      </c>
      <c r="AI15" s="69">
        <v>191655</v>
      </c>
      <c r="AJ15" s="69">
        <v>247662</v>
      </c>
      <c r="AK15" s="69">
        <v>291261</v>
      </c>
      <c r="AL15" s="69">
        <v>372415</v>
      </c>
      <c r="AM15" s="69">
        <v>444879</v>
      </c>
      <c r="AN15" s="69">
        <v>751478</v>
      </c>
      <c r="AO15" s="69">
        <v>796501</v>
      </c>
      <c r="AP15" s="69">
        <v>681560</v>
      </c>
      <c r="AQ15" s="69">
        <v>1096072</v>
      </c>
      <c r="AR15" s="69">
        <v>789699</v>
      </c>
      <c r="AS15" s="69">
        <v>498808</v>
      </c>
      <c r="AT15" s="69">
        <v>379407</v>
      </c>
      <c r="AU15" s="69">
        <v>370016</v>
      </c>
      <c r="AV15">
        <v>439498</v>
      </c>
      <c r="AW15">
        <v>345655</v>
      </c>
      <c r="AX15">
        <v>505686</v>
      </c>
    </row>
    <row r="16" spans="1:50" ht="14.5" x14ac:dyDescent="0.35">
      <c r="A16" s="68" t="s">
        <v>31</v>
      </c>
      <c r="B16" s="68" t="str">
        <f>VLOOKUP(Tabelle_Abfrage_von_MS_Access_Database[[#This Row],[LAND]],Texte!$A$4:$C$261,Texte!$A$1+1,FALSE)</f>
        <v>Ceuta u. Melilla</v>
      </c>
      <c r="C16" s="68" t="s">
        <v>525</v>
      </c>
      <c r="D16" s="68" t="s">
        <v>528</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349193</v>
      </c>
      <c r="W16" s="69">
        <v>128558</v>
      </c>
      <c r="X16" s="69">
        <v>166276</v>
      </c>
      <c r="Y16" s="69">
        <v>218019</v>
      </c>
      <c r="Z16" s="70"/>
      <c r="AA16" s="70"/>
      <c r="AB16" s="70"/>
      <c r="AC16" s="70"/>
      <c r="AD16" s="70"/>
      <c r="AE16" s="70"/>
      <c r="AF16" s="70"/>
      <c r="AG16" s="70"/>
      <c r="AH16" s="70"/>
      <c r="AI16" s="70"/>
      <c r="AJ16" s="70"/>
      <c r="AK16" s="70"/>
      <c r="AL16" s="70"/>
      <c r="AM16" s="70"/>
      <c r="AN16" s="70"/>
      <c r="AO16" s="70"/>
      <c r="AP16" s="70"/>
      <c r="AQ16" s="70"/>
      <c r="AR16" s="70"/>
      <c r="AS16" s="70"/>
      <c r="AT16" s="70"/>
      <c r="AU16" s="70"/>
    </row>
    <row r="17" spans="1:50" ht="14.5" x14ac:dyDescent="0.35">
      <c r="A17" s="68" t="s">
        <v>33</v>
      </c>
      <c r="B17" s="68" t="str">
        <f>VLOOKUP(Tabelle_Abfrage_von_MS_Access_Database[[#This Row],[LAND]],Texte!$A$4:$C$261,Texte!$A$1+1,FALSE)</f>
        <v>Melilla</v>
      </c>
      <c r="C17" s="68" t="s">
        <v>529</v>
      </c>
      <c r="D17" s="68" t="s">
        <v>557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70"/>
      <c r="W17" s="70"/>
      <c r="X17" s="70"/>
      <c r="Y17" s="70"/>
      <c r="Z17" s="69">
        <v>0</v>
      </c>
      <c r="AA17" s="69">
        <v>0</v>
      </c>
      <c r="AB17" s="69">
        <v>13096</v>
      </c>
      <c r="AC17" s="69">
        <v>0</v>
      </c>
      <c r="AD17" s="69">
        <v>5789</v>
      </c>
      <c r="AE17" s="69">
        <v>84291</v>
      </c>
      <c r="AF17" s="69">
        <v>5419</v>
      </c>
      <c r="AG17" s="69">
        <v>67024</v>
      </c>
      <c r="AH17" s="69">
        <v>269856</v>
      </c>
      <c r="AI17" s="69">
        <v>104190</v>
      </c>
      <c r="AJ17" s="69">
        <v>16954</v>
      </c>
      <c r="AK17" s="69">
        <v>84743</v>
      </c>
      <c r="AL17" s="69">
        <v>169430</v>
      </c>
      <c r="AM17" s="69">
        <v>267203</v>
      </c>
      <c r="AN17" s="69">
        <v>221226</v>
      </c>
      <c r="AO17" s="69">
        <v>118630</v>
      </c>
      <c r="AP17" s="69">
        <v>62602</v>
      </c>
      <c r="AQ17" s="69">
        <v>12659</v>
      </c>
      <c r="AR17" s="69">
        <v>182953</v>
      </c>
      <c r="AS17" s="69">
        <v>166855</v>
      </c>
      <c r="AT17" s="69">
        <v>258049</v>
      </c>
      <c r="AU17" s="69">
        <v>172007</v>
      </c>
      <c r="AV17">
        <v>164955</v>
      </c>
      <c r="AW17">
        <v>214790</v>
      </c>
      <c r="AX17">
        <v>73160</v>
      </c>
    </row>
    <row r="18" spans="1:50" ht="14.5" x14ac:dyDescent="0.35">
      <c r="A18" s="68" t="s">
        <v>35</v>
      </c>
      <c r="B18" s="68" t="str">
        <f>VLOOKUP(Tabelle_Abfrage_von_MS_Access_Database[[#This Row],[LAND]],Texte!$A$4:$C$261,Texte!$A$1+1,FALSE)</f>
        <v>Island</v>
      </c>
      <c r="C18" s="68" t="s">
        <v>508</v>
      </c>
      <c r="D18" s="68" t="s">
        <v>557</v>
      </c>
      <c r="E18" s="69">
        <v>3640000</v>
      </c>
      <c r="F18" s="69">
        <v>3071000</v>
      </c>
      <c r="G18" s="69">
        <v>4497000</v>
      </c>
      <c r="H18" s="69">
        <v>5943000</v>
      </c>
      <c r="I18" s="69">
        <v>6446000</v>
      </c>
      <c r="J18" s="69">
        <v>5866000</v>
      </c>
      <c r="K18" s="69">
        <v>6541000</v>
      </c>
      <c r="L18" s="69">
        <v>6350000</v>
      </c>
      <c r="M18" s="69">
        <v>7571000</v>
      </c>
      <c r="N18" s="69">
        <v>10628000</v>
      </c>
      <c r="O18" s="69">
        <v>9231000</v>
      </c>
      <c r="P18" s="69">
        <v>9374000</v>
      </c>
      <c r="Q18" s="69">
        <v>9538000</v>
      </c>
      <c r="R18" s="69">
        <v>10556000</v>
      </c>
      <c r="S18" s="69">
        <v>7817000</v>
      </c>
      <c r="T18" s="69">
        <v>9659000</v>
      </c>
      <c r="U18" s="69">
        <v>6760000</v>
      </c>
      <c r="V18" s="69">
        <v>6594702</v>
      </c>
      <c r="W18" s="69">
        <v>16212799</v>
      </c>
      <c r="X18" s="69">
        <v>10440526</v>
      </c>
      <c r="Y18" s="69">
        <v>14004206</v>
      </c>
      <c r="Z18" s="69">
        <v>15551045</v>
      </c>
      <c r="AA18" s="69">
        <v>26834949</v>
      </c>
      <c r="AB18" s="69">
        <v>14490809</v>
      </c>
      <c r="AC18" s="69">
        <v>14146350</v>
      </c>
      <c r="AD18" s="69">
        <v>15176328</v>
      </c>
      <c r="AE18" s="69">
        <v>18902471</v>
      </c>
      <c r="AF18" s="69">
        <v>30055063</v>
      </c>
      <c r="AG18" s="69">
        <v>50455526</v>
      </c>
      <c r="AH18" s="69">
        <v>37090544</v>
      </c>
      <c r="AI18" s="69">
        <v>26398939</v>
      </c>
      <c r="AJ18" s="69">
        <v>12586625</v>
      </c>
      <c r="AK18" s="69">
        <v>10729253</v>
      </c>
      <c r="AL18" s="69">
        <v>28264018</v>
      </c>
      <c r="AM18" s="69">
        <v>15485835</v>
      </c>
      <c r="AN18" s="69">
        <v>22057111</v>
      </c>
      <c r="AO18" s="69">
        <v>15086643</v>
      </c>
      <c r="AP18" s="69">
        <v>17593061</v>
      </c>
      <c r="AQ18" s="69">
        <v>23523109</v>
      </c>
      <c r="AR18" s="69">
        <v>34051996</v>
      </c>
      <c r="AS18" s="69">
        <v>39660626</v>
      </c>
      <c r="AT18" s="69">
        <v>41947611</v>
      </c>
      <c r="AU18" s="69">
        <v>28901897</v>
      </c>
      <c r="AV18">
        <v>40381165</v>
      </c>
      <c r="AW18">
        <v>56030264</v>
      </c>
      <c r="AX18">
        <v>73481892</v>
      </c>
    </row>
    <row r="19" spans="1:50" ht="14.5" x14ac:dyDescent="0.35">
      <c r="A19" s="68" t="s">
        <v>37</v>
      </c>
      <c r="B19" s="68" t="str">
        <f>VLOOKUP(Tabelle_Abfrage_von_MS_Access_Database[[#This Row],[LAND]],Texte!$A$4:$C$261,Texte!$A$1+1,FALSE)</f>
        <v>Svalbard</v>
      </c>
      <c r="C19" s="68" t="s">
        <v>525</v>
      </c>
      <c r="D19" s="68" t="s">
        <v>526</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31102</v>
      </c>
      <c r="W19" s="69">
        <v>945</v>
      </c>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row>
    <row r="20" spans="1:50" ht="14.5" x14ac:dyDescent="0.35">
      <c r="A20" s="68" t="s">
        <v>39</v>
      </c>
      <c r="B20" s="68" t="str">
        <f>VLOOKUP(Tabelle_Abfrage_von_MS_Access_Database[[#This Row],[LAND]],Texte!$A$4:$C$261,Texte!$A$1+1,FALSE)</f>
        <v>Norwegen</v>
      </c>
      <c r="C20" s="68" t="s">
        <v>508</v>
      </c>
      <c r="D20" s="68" t="s">
        <v>557</v>
      </c>
      <c r="E20" s="69">
        <v>142300000</v>
      </c>
      <c r="F20" s="69">
        <v>153929000</v>
      </c>
      <c r="G20" s="69">
        <v>172162000</v>
      </c>
      <c r="H20" s="69">
        <v>178489000</v>
      </c>
      <c r="I20" s="69">
        <v>187784000</v>
      </c>
      <c r="J20" s="69">
        <v>171599000</v>
      </c>
      <c r="K20" s="69">
        <v>203849000</v>
      </c>
      <c r="L20" s="69">
        <v>259621000</v>
      </c>
      <c r="M20" s="69">
        <v>266744000</v>
      </c>
      <c r="N20" s="69">
        <v>220242000</v>
      </c>
      <c r="O20" s="69">
        <v>190409000</v>
      </c>
      <c r="P20" s="69">
        <v>178097000</v>
      </c>
      <c r="Q20" s="69">
        <v>181732000</v>
      </c>
      <c r="R20" s="69">
        <v>199356000</v>
      </c>
      <c r="S20" s="69">
        <v>221014000</v>
      </c>
      <c r="T20" s="69">
        <v>191408000</v>
      </c>
      <c r="U20" s="69">
        <v>206591000</v>
      </c>
      <c r="V20" s="69">
        <v>197845683</v>
      </c>
      <c r="W20" s="69">
        <v>264225320</v>
      </c>
      <c r="X20" s="69">
        <v>293049179</v>
      </c>
      <c r="Y20" s="69">
        <v>275548842</v>
      </c>
      <c r="Z20" s="69">
        <v>255486270</v>
      </c>
      <c r="AA20" s="69">
        <v>252147466</v>
      </c>
      <c r="AB20" s="69">
        <v>285908457</v>
      </c>
      <c r="AC20" s="69">
        <v>285572965</v>
      </c>
      <c r="AD20" s="69">
        <v>257833210</v>
      </c>
      <c r="AE20" s="69">
        <v>302995858</v>
      </c>
      <c r="AF20" s="69">
        <v>325472153</v>
      </c>
      <c r="AG20" s="69">
        <v>405235010</v>
      </c>
      <c r="AH20" s="69">
        <v>564031665</v>
      </c>
      <c r="AI20" s="69">
        <v>589279221</v>
      </c>
      <c r="AJ20" s="69">
        <v>481238302</v>
      </c>
      <c r="AK20" s="69">
        <v>418049334</v>
      </c>
      <c r="AL20" s="69">
        <v>417591130</v>
      </c>
      <c r="AM20" s="69">
        <v>551459914</v>
      </c>
      <c r="AN20" s="69">
        <v>557166608</v>
      </c>
      <c r="AO20" s="69">
        <v>469891635</v>
      </c>
      <c r="AP20" s="69">
        <v>425777248</v>
      </c>
      <c r="AQ20" s="69">
        <v>414900977</v>
      </c>
      <c r="AR20" s="69">
        <v>486171733</v>
      </c>
      <c r="AS20" s="69">
        <v>580708444</v>
      </c>
      <c r="AT20" s="69">
        <v>718364307</v>
      </c>
      <c r="AU20" s="69">
        <v>529690671</v>
      </c>
      <c r="AV20">
        <v>601675743</v>
      </c>
      <c r="AW20">
        <v>635486954</v>
      </c>
      <c r="AX20">
        <v>619501071</v>
      </c>
    </row>
    <row r="21" spans="1:50" ht="14.5" x14ac:dyDescent="0.35">
      <c r="A21" s="68" t="s">
        <v>41</v>
      </c>
      <c r="B21" s="68" t="str">
        <f>VLOOKUP(Tabelle_Abfrage_von_MS_Access_Database[[#This Row],[LAND]],Texte!$A$4:$C$261,Texte!$A$1+1,FALSE)</f>
        <v>Schweden</v>
      </c>
      <c r="C21" s="68" t="s">
        <v>508</v>
      </c>
      <c r="D21" s="68" t="s">
        <v>557</v>
      </c>
      <c r="E21" s="69">
        <v>344746000</v>
      </c>
      <c r="F21" s="69">
        <v>398833000</v>
      </c>
      <c r="G21" s="69">
        <v>421333000</v>
      </c>
      <c r="H21" s="69">
        <v>431277000</v>
      </c>
      <c r="I21" s="69">
        <v>447179000</v>
      </c>
      <c r="J21" s="69">
        <v>376211000</v>
      </c>
      <c r="K21" s="69">
        <v>433456000</v>
      </c>
      <c r="L21" s="69">
        <v>476977000</v>
      </c>
      <c r="M21" s="69">
        <v>493198000</v>
      </c>
      <c r="N21" s="69">
        <v>484908000</v>
      </c>
      <c r="O21" s="69">
        <v>560150000</v>
      </c>
      <c r="P21" s="69">
        <v>606384000</v>
      </c>
      <c r="Q21" s="69">
        <v>619592000</v>
      </c>
      <c r="R21" s="69">
        <v>554657000</v>
      </c>
      <c r="S21" s="69">
        <v>525332000</v>
      </c>
      <c r="T21" s="69">
        <v>472904000</v>
      </c>
      <c r="U21" s="69">
        <v>519263000</v>
      </c>
      <c r="V21" s="69">
        <v>600092787</v>
      </c>
      <c r="W21" s="69">
        <v>587363145</v>
      </c>
      <c r="X21" s="69">
        <v>656047144</v>
      </c>
      <c r="Y21" s="69">
        <v>676619853</v>
      </c>
      <c r="Z21" s="69">
        <v>697704468</v>
      </c>
      <c r="AA21" s="69">
        <v>813372752</v>
      </c>
      <c r="AB21" s="69">
        <v>845188960</v>
      </c>
      <c r="AC21" s="69">
        <v>836264732</v>
      </c>
      <c r="AD21" s="69">
        <v>883479242</v>
      </c>
      <c r="AE21" s="69">
        <v>933454330</v>
      </c>
      <c r="AF21" s="69">
        <v>996647203</v>
      </c>
      <c r="AG21" s="69">
        <v>1082956270</v>
      </c>
      <c r="AH21" s="69">
        <v>1283891329</v>
      </c>
      <c r="AI21" s="69">
        <v>1307807783</v>
      </c>
      <c r="AJ21" s="69">
        <v>900597750</v>
      </c>
      <c r="AK21" s="69">
        <v>1191052751</v>
      </c>
      <c r="AL21" s="69">
        <v>1405238244</v>
      </c>
      <c r="AM21" s="69">
        <v>1295553178</v>
      </c>
      <c r="AN21" s="69">
        <v>1411222614</v>
      </c>
      <c r="AO21" s="69">
        <v>1376253677</v>
      </c>
      <c r="AP21" s="69">
        <v>1433461210</v>
      </c>
      <c r="AQ21" s="69">
        <v>1441450569</v>
      </c>
      <c r="AR21" s="69">
        <v>1603430351</v>
      </c>
      <c r="AS21" s="69">
        <v>1701147551</v>
      </c>
      <c r="AT21" s="69">
        <v>1739408831</v>
      </c>
      <c r="AU21" s="69">
        <v>1516838528</v>
      </c>
      <c r="AV21">
        <v>1766207904</v>
      </c>
      <c r="AW21">
        <v>1984806560</v>
      </c>
      <c r="AX21">
        <v>1878285453</v>
      </c>
    </row>
    <row r="22" spans="1:50" ht="14.5" x14ac:dyDescent="0.35">
      <c r="A22" s="68" t="s">
        <v>43</v>
      </c>
      <c r="B22" s="68" t="str">
        <f>VLOOKUP(Tabelle_Abfrage_von_MS_Access_Database[[#This Row],[LAND]],Texte!$A$4:$C$261,Texte!$A$1+1,FALSE)</f>
        <v>Finnland</v>
      </c>
      <c r="C22" s="68" t="s">
        <v>508</v>
      </c>
      <c r="D22" s="68" t="s">
        <v>557</v>
      </c>
      <c r="E22" s="69">
        <v>98627000</v>
      </c>
      <c r="F22" s="69">
        <v>127219000</v>
      </c>
      <c r="G22" s="69">
        <v>152309000</v>
      </c>
      <c r="H22" s="69">
        <v>178933000</v>
      </c>
      <c r="I22" s="69">
        <v>193412000</v>
      </c>
      <c r="J22" s="69">
        <v>180112000</v>
      </c>
      <c r="K22" s="69">
        <v>190291000</v>
      </c>
      <c r="L22" s="69">
        <v>223078000</v>
      </c>
      <c r="M22" s="69">
        <v>210293000</v>
      </c>
      <c r="N22" s="69">
        <v>209528000</v>
      </c>
      <c r="O22" s="69">
        <v>226454000</v>
      </c>
      <c r="P22" s="69">
        <v>259605000</v>
      </c>
      <c r="Q22" s="69">
        <v>274049000</v>
      </c>
      <c r="R22" s="69">
        <v>213241000</v>
      </c>
      <c r="S22" s="69">
        <v>205699000</v>
      </c>
      <c r="T22" s="69">
        <v>177198000</v>
      </c>
      <c r="U22" s="69">
        <v>193293000</v>
      </c>
      <c r="V22" s="69">
        <v>275464346</v>
      </c>
      <c r="W22" s="69">
        <v>271967892</v>
      </c>
      <c r="X22" s="69">
        <v>310739503</v>
      </c>
      <c r="Y22" s="69">
        <v>358104961</v>
      </c>
      <c r="Z22" s="69">
        <v>372801964</v>
      </c>
      <c r="AA22" s="69">
        <v>370420035</v>
      </c>
      <c r="AB22" s="69">
        <v>418200094</v>
      </c>
      <c r="AC22" s="69">
        <v>437148316</v>
      </c>
      <c r="AD22" s="69">
        <v>445396728</v>
      </c>
      <c r="AE22" s="69">
        <v>452484489</v>
      </c>
      <c r="AF22" s="69">
        <v>493717426</v>
      </c>
      <c r="AG22" s="69">
        <v>554387748</v>
      </c>
      <c r="AH22" s="69">
        <v>565726593</v>
      </c>
      <c r="AI22" s="69">
        <v>622493310</v>
      </c>
      <c r="AJ22" s="69">
        <v>435288111</v>
      </c>
      <c r="AK22" s="69">
        <v>506802491</v>
      </c>
      <c r="AL22" s="69">
        <v>467682048</v>
      </c>
      <c r="AM22" s="69">
        <v>488224279</v>
      </c>
      <c r="AN22" s="69">
        <v>488635953</v>
      </c>
      <c r="AO22" s="69">
        <v>473888399</v>
      </c>
      <c r="AP22" s="69">
        <v>493728959</v>
      </c>
      <c r="AQ22" s="69">
        <v>539876392</v>
      </c>
      <c r="AR22" s="69">
        <v>583774608</v>
      </c>
      <c r="AS22" s="69">
        <v>657294305</v>
      </c>
      <c r="AT22" s="69">
        <v>645895724</v>
      </c>
      <c r="AU22" s="69">
        <v>590672682</v>
      </c>
      <c r="AV22">
        <v>700407028</v>
      </c>
      <c r="AW22">
        <v>854431024</v>
      </c>
      <c r="AX22">
        <v>744071429</v>
      </c>
    </row>
    <row r="23" spans="1:50" ht="14.5" x14ac:dyDescent="0.35">
      <c r="A23" s="68" t="s">
        <v>45</v>
      </c>
      <c r="B23" s="68" t="str">
        <f>VLOOKUP(Tabelle_Abfrage_von_MS_Access_Database[[#This Row],[LAND]],Texte!$A$4:$C$261,Texte!$A$1+1,FALSE)</f>
        <v>Liechtenstein</v>
      </c>
      <c r="C23" s="68" t="s">
        <v>525</v>
      </c>
      <c r="D23" s="68" t="s">
        <v>557</v>
      </c>
      <c r="E23" s="69">
        <v>0</v>
      </c>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178367751</v>
      </c>
      <c r="W23" s="69">
        <v>217117513</v>
      </c>
      <c r="X23" s="69">
        <v>218682261</v>
      </c>
      <c r="Y23" s="69">
        <v>239678627</v>
      </c>
      <c r="Z23" s="69">
        <v>266632322</v>
      </c>
      <c r="AA23" s="69">
        <v>316098905</v>
      </c>
      <c r="AB23" s="69">
        <v>312159464</v>
      </c>
      <c r="AC23" s="69">
        <v>296666890</v>
      </c>
      <c r="AD23" s="69">
        <v>299773261</v>
      </c>
      <c r="AE23" s="69">
        <v>396998073</v>
      </c>
      <c r="AF23" s="69">
        <v>375082248</v>
      </c>
      <c r="AG23" s="69">
        <v>459793684</v>
      </c>
      <c r="AH23" s="69">
        <v>478423708</v>
      </c>
      <c r="AI23" s="69">
        <v>483786406</v>
      </c>
      <c r="AJ23" s="69">
        <v>400651256</v>
      </c>
      <c r="AK23" s="69">
        <v>424769313</v>
      </c>
      <c r="AL23" s="69">
        <v>516808705</v>
      </c>
      <c r="AM23" s="69">
        <v>460474721</v>
      </c>
      <c r="AN23" s="69">
        <v>492702746</v>
      </c>
      <c r="AO23" s="69">
        <v>542863743</v>
      </c>
      <c r="AP23" s="69">
        <v>533515604</v>
      </c>
      <c r="AQ23" s="69">
        <v>524936464</v>
      </c>
      <c r="AR23" s="69">
        <v>494455314</v>
      </c>
      <c r="AS23" s="69">
        <v>443871267</v>
      </c>
      <c r="AT23" s="69">
        <v>455480524</v>
      </c>
      <c r="AU23" s="69">
        <v>387552038</v>
      </c>
      <c r="AV23">
        <v>400254282</v>
      </c>
      <c r="AW23">
        <v>438798115</v>
      </c>
      <c r="AX23">
        <v>417203874</v>
      </c>
    </row>
    <row r="24" spans="1:50" ht="14.5" x14ac:dyDescent="0.35">
      <c r="A24" s="68" t="s">
        <v>47</v>
      </c>
      <c r="B24" s="68" t="str">
        <f>VLOOKUP(Tabelle_Abfrage_von_MS_Access_Database[[#This Row],[LAND]],Texte!$A$4:$C$261,Texte!$A$1+1,FALSE)</f>
        <v>Schweiz</v>
      </c>
      <c r="C24" s="68" t="s">
        <v>508</v>
      </c>
      <c r="D24" s="68" t="s">
        <v>557</v>
      </c>
      <c r="E24" s="69">
        <v>993562000</v>
      </c>
      <c r="F24" s="69">
        <v>1102442000</v>
      </c>
      <c r="G24" s="69">
        <v>1236515000</v>
      </c>
      <c r="H24" s="69">
        <v>1348524000</v>
      </c>
      <c r="I24" s="69">
        <v>1359507000</v>
      </c>
      <c r="J24" s="69">
        <v>1374378000</v>
      </c>
      <c r="K24" s="69">
        <v>1579227000</v>
      </c>
      <c r="L24" s="69">
        <v>1735329000</v>
      </c>
      <c r="M24" s="69">
        <v>1949985000</v>
      </c>
      <c r="N24" s="69">
        <v>1844842000</v>
      </c>
      <c r="O24" s="69">
        <v>2007256000</v>
      </c>
      <c r="P24" s="69">
        <v>2257020000</v>
      </c>
      <c r="Q24" s="69">
        <v>2352151000</v>
      </c>
      <c r="R24" s="69">
        <v>2222110000</v>
      </c>
      <c r="S24" s="69">
        <v>2101734000</v>
      </c>
      <c r="T24" s="69">
        <v>2092530000</v>
      </c>
      <c r="U24" s="69">
        <v>2370157000</v>
      </c>
      <c r="V24" s="69">
        <v>2286669450</v>
      </c>
      <c r="W24" s="69">
        <v>2202257005</v>
      </c>
      <c r="X24" s="69">
        <v>2530678167</v>
      </c>
      <c r="Y24" s="69">
        <v>2810613405</v>
      </c>
      <c r="Z24" s="69">
        <v>3615967522</v>
      </c>
      <c r="AA24" s="69">
        <v>4422673550</v>
      </c>
      <c r="AB24" s="69">
        <v>3862388868</v>
      </c>
      <c r="AC24" s="69">
        <v>4074439923</v>
      </c>
      <c r="AD24" s="69">
        <v>4066592746</v>
      </c>
      <c r="AE24" s="69">
        <v>4037496896</v>
      </c>
      <c r="AF24" s="69">
        <v>4271697771</v>
      </c>
      <c r="AG24" s="69">
        <v>4394425243</v>
      </c>
      <c r="AH24" s="69">
        <v>4522639508</v>
      </c>
      <c r="AI24" s="69">
        <v>4468164025</v>
      </c>
      <c r="AJ24" s="69">
        <v>4346788038</v>
      </c>
      <c r="AK24" s="69">
        <v>5199114391</v>
      </c>
      <c r="AL24" s="69">
        <v>5986243637</v>
      </c>
      <c r="AM24" s="69">
        <v>6232441766</v>
      </c>
      <c r="AN24" s="69">
        <v>6337376633</v>
      </c>
      <c r="AO24" s="69">
        <v>6685566279</v>
      </c>
      <c r="AP24" s="69">
        <v>7121379840</v>
      </c>
      <c r="AQ24" s="69">
        <v>7164821042</v>
      </c>
      <c r="AR24" s="69">
        <v>7002033785</v>
      </c>
      <c r="AS24" s="69">
        <v>7013134476</v>
      </c>
      <c r="AT24" s="69">
        <v>7262703941</v>
      </c>
      <c r="AU24" s="69">
        <v>7478923619</v>
      </c>
      <c r="AV24">
        <v>8171782238</v>
      </c>
      <c r="AW24">
        <v>9990508127</v>
      </c>
      <c r="AX24">
        <v>9957421170</v>
      </c>
    </row>
    <row r="25" spans="1:50" ht="14.5" x14ac:dyDescent="0.35">
      <c r="A25" s="68" t="s">
        <v>49</v>
      </c>
      <c r="B25" s="68" t="str">
        <f>VLOOKUP(Tabelle_Abfrage_von_MS_Access_Database[[#This Row],[LAND]],Texte!$A$4:$C$261,Texte!$A$1+1,FALSE)</f>
        <v>Färöerinseln</v>
      </c>
      <c r="C25" s="68" t="s">
        <v>525</v>
      </c>
      <c r="D25" s="68" t="s">
        <v>557</v>
      </c>
      <c r="E25" s="69">
        <v>0</v>
      </c>
      <c r="F25" s="69">
        <v>0</v>
      </c>
      <c r="G25" s="69">
        <v>0</v>
      </c>
      <c r="H25" s="69">
        <v>0</v>
      </c>
      <c r="I25" s="69">
        <v>0</v>
      </c>
      <c r="J25" s="69">
        <v>0</v>
      </c>
      <c r="K25" s="69">
        <v>0</v>
      </c>
      <c r="L25" s="69">
        <v>0</v>
      </c>
      <c r="M25" s="69">
        <v>0</v>
      </c>
      <c r="N25" s="69">
        <v>0</v>
      </c>
      <c r="O25" s="69">
        <v>0</v>
      </c>
      <c r="P25" s="69">
        <v>0</v>
      </c>
      <c r="Q25" s="69">
        <v>0</v>
      </c>
      <c r="R25" s="69">
        <v>0</v>
      </c>
      <c r="S25" s="69">
        <v>0</v>
      </c>
      <c r="T25" s="69">
        <v>0</v>
      </c>
      <c r="U25" s="69">
        <v>0</v>
      </c>
      <c r="V25" s="69">
        <v>75725</v>
      </c>
      <c r="W25" s="69">
        <v>153270</v>
      </c>
      <c r="X25" s="69">
        <v>51890</v>
      </c>
      <c r="Y25" s="69">
        <v>253847</v>
      </c>
      <c r="Z25" s="69">
        <v>402467</v>
      </c>
      <c r="AA25" s="69">
        <v>747800</v>
      </c>
      <c r="AB25" s="69">
        <v>392092</v>
      </c>
      <c r="AC25" s="69">
        <v>299424</v>
      </c>
      <c r="AD25" s="69">
        <v>704084</v>
      </c>
      <c r="AE25" s="69">
        <v>359042</v>
      </c>
      <c r="AF25" s="69">
        <v>345143</v>
      </c>
      <c r="AG25" s="69">
        <v>2033118</v>
      </c>
      <c r="AH25" s="69">
        <v>2383706</v>
      </c>
      <c r="AI25" s="69">
        <v>1064637</v>
      </c>
      <c r="AJ25" s="69">
        <v>435625</v>
      </c>
      <c r="AK25" s="69">
        <v>318737</v>
      </c>
      <c r="AL25" s="69">
        <v>443724</v>
      </c>
      <c r="AM25" s="69">
        <v>353609</v>
      </c>
      <c r="AN25" s="69">
        <v>518740</v>
      </c>
      <c r="AO25" s="69">
        <v>810576</v>
      </c>
      <c r="AP25" s="69">
        <v>911322</v>
      </c>
      <c r="AQ25" s="69">
        <v>1509612</v>
      </c>
      <c r="AR25" s="69">
        <v>1229709</v>
      </c>
      <c r="AS25" s="69">
        <v>974007</v>
      </c>
      <c r="AT25" s="69">
        <v>837369</v>
      </c>
      <c r="AU25" s="69">
        <v>996624</v>
      </c>
      <c r="AV25">
        <v>1401919</v>
      </c>
      <c r="AW25">
        <v>2001070</v>
      </c>
      <c r="AX25">
        <v>2808635</v>
      </c>
    </row>
    <row r="26" spans="1:50" ht="14.5" x14ac:dyDescent="0.35">
      <c r="A26" s="68" t="s">
        <v>51</v>
      </c>
      <c r="B26" s="68" t="str">
        <f>VLOOKUP(Tabelle_Abfrage_von_MS_Access_Database[[#This Row],[LAND]],Texte!$A$4:$C$261,Texte!$A$1+1,FALSE)</f>
        <v>Andorra</v>
      </c>
      <c r="C26" s="68" t="s">
        <v>525</v>
      </c>
      <c r="D26" s="68" t="s">
        <v>557</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1698798</v>
      </c>
      <c r="W26" s="69">
        <v>1580633</v>
      </c>
      <c r="X26" s="69">
        <v>2520440</v>
      </c>
      <c r="Y26" s="69">
        <v>7943283</v>
      </c>
      <c r="Z26" s="69">
        <v>2656556</v>
      </c>
      <c r="AA26" s="69">
        <v>2596895</v>
      </c>
      <c r="AB26" s="69">
        <v>1493915</v>
      </c>
      <c r="AC26" s="69">
        <v>2926900</v>
      </c>
      <c r="AD26" s="69">
        <v>2389084</v>
      </c>
      <c r="AE26" s="69">
        <v>6623327</v>
      </c>
      <c r="AF26" s="69">
        <v>6898755</v>
      </c>
      <c r="AG26" s="69">
        <v>5048105</v>
      </c>
      <c r="AH26" s="69">
        <v>4722458</v>
      </c>
      <c r="AI26" s="69">
        <v>5811881</v>
      </c>
      <c r="AJ26" s="69">
        <v>2494629</v>
      </c>
      <c r="AK26" s="69">
        <v>2795720</v>
      </c>
      <c r="AL26" s="69">
        <v>3317568</v>
      </c>
      <c r="AM26" s="69">
        <v>3735205</v>
      </c>
      <c r="AN26" s="69">
        <v>4867729</v>
      </c>
      <c r="AO26" s="69">
        <v>6227967</v>
      </c>
      <c r="AP26" s="69">
        <v>5171281</v>
      </c>
      <c r="AQ26" s="69">
        <v>5325316</v>
      </c>
      <c r="AR26" s="69">
        <v>6217104</v>
      </c>
      <c r="AS26" s="69">
        <v>13267213</v>
      </c>
      <c r="AT26" s="69">
        <v>7094610</v>
      </c>
      <c r="AU26" s="69">
        <v>4620807</v>
      </c>
      <c r="AV26">
        <v>5117939</v>
      </c>
      <c r="AW26">
        <v>9433566</v>
      </c>
      <c r="AX26">
        <v>14026803</v>
      </c>
    </row>
    <row r="27" spans="1:50" ht="14.5" x14ac:dyDescent="0.35">
      <c r="A27" s="68" t="s">
        <v>53</v>
      </c>
      <c r="B27" s="68" t="str">
        <f>VLOOKUP(Tabelle_Abfrage_von_MS_Access_Database[[#This Row],[LAND]],Texte!$A$4:$C$261,Texte!$A$1+1,FALSE)</f>
        <v>Gibraltar</v>
      </c>
      <c r="C27" s="68" t="s">
        <v>508</v>
      </c>
      <c r="D27" s="68" t="s">
        <v>557</v>
      </c>
      <c r="E27" s="69">
        <v>52000</v>
      </c>
      <c r="F27" s="69">
        <v>56000</v>
      </c>
      <c r="G27" s="69">
        <v>65000</v>
      </c>
      <c r="H27" s="69">
        <v>133000</v>
      </c>
      <c r="I27" s="69">
        <v>108000</v>
      </c>
      <c r="J27" s="69">
        <v>183000</v>
      </c>
      <c r="K27" s="69">
        <v>51000</v>
      </c>
      <c r="L27" s="69">
        <v>142000</v>
      </c>
      <c r="M27" s="69">
        <v>154000</v>
      </c>
      <c r="N27" s="69">
        <v>273000</v>
      </c>
      <c r="O27" s="69">
        <v>6946000</v>
      </c>
      <c r="P27" s="69">
        <v>3347000</v>
      </c>
      <c r="Q27" s="69">
        <v>10695000</v>
      </c>
      <c r="R27" s="69">
        <v>12020000</v>
      </c>
      <c r="S27" s="69">
        <v>14238000</v>
      </c>
      <c r="T27" s="69">
        <v>412000</v>
      </c>
      <c r="U27" s="69">
        <v>961000</v>
      </c>
      <c r="V27" s="69">
        <v>714447</v>
      </c>
      <c r="W27" s="69">
        <v>343600</v>
      </c>
      <c r="X27" s="69">
        <v>357260</v>
      </c>
      <c r="Y27" s="69">
        <v>399775</v>
      </c>
      <c r="Z27" s="69">
        <v>476949</v>
      </c>
      <c r="AA27" s="69">
        <v>473679</v>
      </c>
      <c r="AB27" s="69">
        <v>414137</v>
      </c>
      <c r="AC27" s="69">
        <v>1072206</v>
      </c>
      <c r="AD27" s="69">
        <v>3729307</v>
      </c>
      <c r="AE27" s="69">
        <v>4044939</v>
      </c>
      <c r="AF27" s="69">
        <v>815120</v>
      </c>
      <c r="AG27" s="69">
        <v>1455725</v>
      </c>
      <c r="AH27" s="69">
        <v>1816222</v>
      </c>
      <c r="AI27" s="69">
        <v>3976618</v>
      </c>
      <c r="AJ27" s="69">
        <v>1596278</v>
      </c>
      <c r="AK27" s="69">
        <v>2312967</v>
      </c>
      <c r="AL27" s="69">
        <v>999665</v>
      </c>
      <c r="AM27" s="69">
        <v>545216</v>
      </c>
      <c r="AN27" s="69">
        <v>726236</v>
      </c>
      <c r="AO27" s="69">
        <v>2594024</v>
      </c>
      <c r="AP27" s="69">
        <v>2651038</v>
      </c>
      <c r="AQ27" s="69">
        <v>1396199</v>
      </c>
      <c r="AR27" s="69">
        <v>1093405</v>
      </c>
      <c r="AS27" s="69">
        <v>8982031</v>
      </c>
      <c r="AT27" s="69">
        <v>13251055</v>
      </c>
      <c r="AU27" s="69">
        <v>5981490</v>
      </c>
      <c r="AV27">
        <v>5242819</v>
      </c>
      <c r="AW27">
        <v>936749</v>
      </c>
      <c r="AX27">
        <v>1199998</v>
      </c>
    </row>
    <row r="28" spans="1:50" ht="14.5" x14ac:dyDescent="0.35">
      <c r="A28" s="68" t="s">
        <v>55</v>
      </c>
      <c r="B28" s="68" t="str">
        <f>VLOOKUP(Tabelle_Abfrage_von_MS_Access_Database[[#This Row],[LAND]],Texte!$A$4:$C$261,Texte!$A$1+1,FALSE)</f>
        <v>Vatikanstadt</v>
      </c>
      <c r="C28" s="68" t="s">
        <v>525</v>
      </c>
      <c r="D28" s="68" t="s">
        <v>557</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573750</v>
      </c>
      <c r="W28" s="69">
        <v>548972</v>
      </c>
      <c r="X28" s="69">
        <v>767498</v>
      </c>
      <c r="Y28" s="69">
        <v>597661</v>
      </c>
      <c r="Z28" s="69">
        <v>659359</v>
      </c>
      <c r="AA28" s="69">
        <v>747000</v>
      </c>
      <c r="AB28" s="69">
        <v>1236472</v>
      </c>
      <c r="AC28" s="69">
        <v>533525</v>
      </c>
      <c r="AD28" s="69">
        <v>620439</v>
      </c>
      <c r="AE28" s="69">
        <v>890956</v>
      </c>
      <c r="AF28" s="69">
        <v>767096</v>
      </c>
      <c r="AG28" s="69">
        <v>536901</v>
      </c>
      <c r="AH28" s="69">
        <v>836432</v>
      </c>
      <c r="AI28" s="69">
        <v>459454</v>
      </c>
      <c r="AJ28" s="69">
        <v>402511</v>
      </c>
      <c r="AK28" s="69">
        <v>414292</v>
      </c>
      <c r="AL28" s="69">
        <v>1219579</v>
      </c>
      <c r="AM28" s="69">
        <v>437407</v>
      </c>
      <c r="AN28" s="69">
        <v>453196</v>
      </c>
      <c r="AO28" s="69">
        <v>410886</v>
      </c>
      <c r="AP28" s="69">
        <v>368476</v>
      </c>
      <c r="AQ28" s="69">
        <v>772432</v>
      </c>
      <c r="AR28" s="69">
        <v>350031</v>
      </c>
      <c r="AS28" s="69">
        <v>382201</v>
      </c>
      <c r="AT28" s="69">
        <v>391210</v>
      </c>
      <c r="AU28" s="69">
        <v>277642</v>
      </c>
      <c r="AV28">
        <v>188501</v>
      </c>
      <c r="AW28">
        <v>290767</v>
      </c>
      <c r="AX28">
        <v>235982</v>
      </c>
    </row>
    <row r="29" spans="1:50" ht="14.5" x14ac:dyDescent="0.35">
      <c r="A29" s="68" t="s">
        <v>57</v>
      </c>
      <c r="B29" s="68" t="str">
        <f>VLOOKUP(Tabelle_Abfrage_von_MS_Access_Database[[#This Row],[LAND]],Texte!$A$4:$C$261,Texte!$A$1+1,FALSE)</f>
        <v>Malta</v>
      </c>
      <c r="C29" s="68" t="s">
        <v>508</v>
      </c>
      <c r="D29" s="68" t="s">
        <v>557</v>
      </c>
      <c r="E29" s="69">
        <v>2550000</v>
      </c>
      <c r="F29" s="69">
        <v>4150000</v>
      </c>
      <c r="G29" s="69">
        <v>5649000</v>
      </c>
      <c r="H29" s="69">
        <v>5621000</v>
      </c>
      <c r="I29" s="69">
        <v>5152000</v>
      </c>
      <c r="J29" s="69">
        <v>5395000</v>
      </c>
      <c r="K29" s="69">
        <v>6545000</v>
      </c>
      <c r="L29" s="69">
        <v>8849000</v>
      </c>
      <c r="M29" s="69">
        <v>6773000</v>
      </c>
      <c r="N29" s="69">
        <v>7606000</v>
      </c>
      <c r="O29" s="69">
        <v>6419000</v>
      </c>
      <c r="P29" s="69">
        <v>7821000</v>
      </c>
      <c r="Q29" s="69">
        <v>11572000</v>
      </c>
      <c r="R29" s="69">
        <v>6428000</v>
      </c>
      <c r="S29" s="69">
        <v>6410000</v>
      </c>
      <c r="T29" s="69">
        <v>6223000</v>
      </c>
      <c r="U29" s="69">
        <v>6769000</v>
      </c>
      <c r="V29" s="69">
        <v>6292950</v>
      </c>
      <c r="W29" s="69">
        <v>8506476</v>
      </c>
      <c r="X29" s="69">
        <v>14035524</v>
      </c>
      <c r="Y29" s="69">
        <v>14181011</v>
      </c>
      <c r="Z29" s="69">
        <v>17405792</v>
      </c>
      <c r="AA29" s="69">
        <v>22601455</v>
      </c>
      <c r="AB29" s="69">
        <v>26722110</v>
      </c>
      <c r="AC29" s="69">
        <v>20956555</v>
      </c>
      <c r="AD29" s="69">
        <v>20050521</v>
      </c>
      <c r="AE29" s="69">
        <v>21916439</v>
      </c>
      <c r="AF29" s="69">
        <v>31716511</v>
      </c>
      <c r="AG29" s="69">
        <v>215252706</v>
      </c>
      <c r="AH29" s="69">
        <v>46899738</v>
      </c>
      <c r="AI29" s="69">
        <v>42873574</v>
      </c>
      <c r="AJ29" s="69">
        <v>30608379</v>
      </c>
      <c r="AK29" s="69">
        <v>32873896</v>
      </c>
      <c r="AL29" s="69">
        <v>31469510</v>
      </c>
      <c r="AM29" s="69">
        <v>34225330</v>
      </c>
      <c r="AN29" s="69">
        <v>46901112</v>
      </c>
      <c r="AO29" s="69">
        <v>42820540</v>
      </c>
      <c r="AP29" s="69">
        <v>39590230</v>
      </c>
      <c r="AQ29" s="69">
        <v>38947598</v>
      </c>
      <c r="AR29" s="69">
        <v>46787131</v>
      </c>
      <c r="AS29" s="69">
        <v>46462061</v>
      </c>
      <c r="AT29" s="69">
        <v>72332376</v>
      </c>
      <c r="AU29" s="69">
        <v>35667468</v>
      </c>
      <c r="AV29">
        <v>42259645</v>
      </c>
      <c r="AW29">
        <v>63510038</v>
      </c>
      <c r="AX29">
        <v>51874845</v>
      </c>
    </row>
    <row r="30" spans="1:50" ht="14.5" x14ac:dyDescent="0.35">
      <c r="A30" s="68" t="s">
        <v>59</v>
      </c>
      <c r="B30" s="68" t="str">
        <f>VLOOKUP(Tabelle_Abfrage_von_MS_Access_Database[[#This Row],[LAND]],Texte!$A$4:$C$261,Texte!$A$1+1,FALSE)</f>
        <v>San Marino</v>
      </c>
      <c r="C30" s="68" t="s">
        <v>525</v>
      </c>
      <c r="D30" s="68" t="s">
        <v>557</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11731868</v>
      </c>
      <c r="W30" s="69">
        <v>4102090</v>
      </c>
      <c r="X30" s="69">
        <v>7757170</v>
      </c>
      <c r="Y30" s="69">
        <v>4781290</v>
      </c>
      <c r="Z30" s="69">
        <v>6259819</v>
      </c>
      <c r="AA30" s="69">
        <v>2228656</v>
      </c>
      <c r="AB30" s="69">
        <v>3773667</v>
      </c>
      <c r="AC30" s="69">
        <v>4787957</v>
      </c>
      <c r="AD30" s="69">
        <v>7147542</v>
      </c>
      <c r="AE30" s="69">
        <v>4037638</v>
      </c>
      <c r="AF30" s="69">
        <v>5291088</v>
      </c>
      <c r="AG30" s="69">
        <v>9389417</v>
      </c>
      <c r="AH30" s="69">
        <v>8867272</v>
      </c>
      <c r="AI30" s="69">
        <v>10532327</v>
      </c>
      <c r="AJ30" s="69">
        <v>14400985</v>
      </c>
      <c r="AK30" s="69">
        <v>9718856</v>
      </c>
      <c r="AL30" s="69">
        <v>8695145</v>
      </c>
      <c r="AM30" s="69">
        <v>8241549</v>
      </c>
      <c r="AN30" s="69">
        <v>8759680</v>
      </c>
      <c r="AO30" s="69">
        <v>7475706</v>
      </c>
      <c r="AP30" s="69">
        <v>9927957</v>
      </c>
      <c r="AQ30" s="69">
        <v>9019049</v>
      </c>
      <c r="AR30" s="69">
        <v>9520655</v>
      </c>
      <c r="AS30" s="69">
        <v>9137815</v>
      </c>
      <c r="AT30" s="69">
        <v>9282121</v>
      </c>
      <c r="AU30" s="69">
        <v>32273910</v>
      </c>
      <c r="AV30">
        <v>12256600</v>
      </c>
      <c r="AW30">
        <v>12438570</v>
      </c>
      <c r="AX30">
        <v>9251343</v>
      </c>
    </row>
    <row r="31" spans="1:50" ht="14.5" x14ac:dyDescent="0.35">
      <c r="A31" s="68" t="s">
        <v>61</v>
      </c>
      <c r="B31" s="68" t="str">
        <f>VLOOKUP(Tabelle_Abfrage_von_MS_Access_Database[[#This Row],[LAND]],Texte!$A$4:$C$261,Texte!$A$1+1,FALSE)</f>
        <v>Türkei</v>
      </c>
      <c r="C31" s="68" t="s">
        <v>508</v>
      </c>
      <c r="D31" s="68" t="s">
        <v>557</v>
      </c>
      <c r="E31" s="69">
        <v>86048000</v>
      </c>
      <c r="F31" s="69">
        <v>127122000</v>
      </c>
      <c r="G31" s="69">
        <v>92704000</v>
      </c>
      <c r="H31" s="69">
        <v>84925000</v>
      </c>
      <c r="I31" s="69">
        <v>114535000</v>
      </c>
      <c r="J31" s="69">
        <v>124819000</v>
      </c>
      <c r="K31" s="69">
        <v>168234000</v>
      </c>
      <c r="L31" s="69">
        <v>180609000</v>
      </c>
      <c r="M31" s="69">
        <v>126614000</v>
      </c>
      <c r="N31" s="69">
        <v>165970000</v>
      </c>
      <c r="O31" s="69">
        <v>184730000</v>
      </c>
      <c r="P31" s="69">
        <v>163416000</v>
      </c>
      <c r="Q31" s="69">
        <v>185780000</v>
      </c>
      <c r="R31" s="69">
        <v>202709000</v>
      </c>
      <c r="S31" s="69">
        <v>228215000</v>
      </c>
      <c r="T31" s="69">
        <v>219614000</v>
      </c>
      <c r="U31" s="69">
        <v>143448000</v>
      </c>
      <c r="V31" s="69">
        <v>206418324</v>
      </c>
      <c r="W31" s="69">
        <v>371718534</v>
      </c>
      <c r="X31" s="69">
        <v>480781151</v>
      </c>
      <c r="Y31" s="69">
        <v>486036186</v>
      </c>
      <c r="Z31" s="69">
        <v>458723045</v>
      </c>
      <c r="AA31" s="69">
        <v>481688543</v>
      </c>
      <c r="AB31" s="69">
        <v>419580325</v>
      </c>
      <c r="AC31" s="69">
        <v>554134533</v>
      </c>
      <c r="AD31" s="69">
        <v>704963687</v>
      </c>
      <c r="AE31" s="69">
        <v>791121625</v>
      </c>
      <c r="AF31" s="69">
        <v>738219260</v>
      </c>
      <c r="AG31" s="69">
        <v>844466188</v>
      </c>
      <c r="AH31" s="69">
        <v>943437781</v>
      </c>
      <c r="AI31" s="69">
        <v>965752085</v>
      </c>
      <c r="AJ31" s="69">
        <v>760650367</v>
      </c>
      <c r="AK31" s="69">
        <v>1061854514</v>
      </c>
      <c r="AL31" s="69">
        <v>1248394925</v>
      </c>
      <c r="AM31" s="69">
        <v>1225751373</v>
      </c>
      <c r="AN31" s="69">
        <v>1244810836</v>
      </c>
      <c r="AO31" s="69">
        <v>1207407676</v>
      </c>
      <c r="AP31" s="69">
        <v>1403325888</v>
      </c>
      <c r="AQ31" s="69">
        <v>1324018346</v>
      </c>
      <c r="AR31" s="69">
        <v>1310716664</v>
      </c>
      <c r="AS31" s="69">
        <v>1320778374</v>
      </c>
      <c r="AT31" s="69">
        <v>1158382506</v>
      </c>
      <c r="AU31" s="69">
        <v>1254039737</v>
      </c>
      <c r="AV31">
        <v>1492601683</v>
      </c>
      <c r="AW31">
        <v>1805272592</v>
      </c>
      <c r="AX31">
        <v>2027211744</v>
      </c>
    </row>
    <row r="32" spans="1:50" ht="14.5" x14ac:dyDescent="0.35">
      <c r="A32" s="68" t="s">
        <v>63</v>
      </c>
      <c r="B32" s="68" t="str">
        <f>VLOOKUP(Tabelle_Abfrage_von_MS_Access_Database[[#This Row],[LAND]],Texte!$A$4:$C$261,Texte!$A$1+1,FALSE)</f>
        <v>Estland</v>
      </c>
      <c r="C32" s="68" t="s">
        <v>522</v>
      </c>
      <c r="D32" s="68" t="s">
        <v>557</v>
      </c>
      <c r="E32" s="69">
        <v>0</v>
      </c>
      <c r="F32" s="69">
        <v>0</v>
      </c>
      <c r="G32" s="69">
        <v>0</v>
      </c>
      <c r="H32" s="69">
        <v>0</v>
      </c>
      <c r="I32" s="69">
        <v>0</v>
      </c>
      <c r="J32" s="69">
        <v>0</v>
      </c>
      <c r="K32" s="69">
        <v>0</v>
      </c>
      <c r="L32" s="69">
        <v>0</v>
      </c>
      <c r="M32" s="69">
        <v>0</v>
      </c>
      <c r="N32" s="69">
        <v>0</v>
      </c>
      <c r="O32" s="69">
        <v>0</v>
      </c>
      <c r="P32" s="69">
        <v>0</v>
      </c>
      <c r="Q32" s="69">
        <v>0</v>
      </c>
      <c r="R32" s="69">
        <v>0</v>
      </c>
      <c r="S32" s="69">
        <v>2450000</v>
      </c>
      <c r="T32" s="69">
        <v>2469000</v>
      </c>
      <c r="U32" s="69">
        <v>7065000</v>
      </c>
      <c r="V32" s="69">
        <v>10932893</v>
      </c>
      <c r="W32" s="69">
        <v>9760244</v>
      </c>
      <c r="X32" s="69">
        <v>24197058</v>
      </c>
      <c r="Y32" s="69">
        <v>26466137</v>
      </c>
      <c r="Z32" s="69">
        <v>24972274</v>
      </c>
      <c r="AA32" s="69">
        <v>33898299</v>
      </c>
      <c r="AB32" s="69">
        <v>51712952</v>
      </c>
      <c r="AC32" s="69">
        <v>68865712</v>
      </c>
      <c r="AD32" s="69">
        <v>73133183</v>
      </c>
      <c r="AE32" s="69">
        <v>86174802</v>
      </c>
      <c r="AF32" s="69">
        <v>237308832</v>
      </c>
      <c r="AG32" s="69">
        <v>97950538</v>
      </c>
      <c r="AH32" s="69">
        <v>133497913</v>
      </c>
      <c r="AI32" s="69">
        <v>125886447</v>
      </c>
      <c r="AJ32" s="69">
        <v>52952251</v>
      </c>
      <c r="AK32" s="69">
        <v>76534421</v>
      </c>
      <c r="AL32" s="69">
        <v>101259377</v>
      </c>
      <c r="AM32" s="69">
        <v>108438610</v>
      </c>
      <c r="AN32" s="69">
        <v>126865304</v>
      </c>
      <c r="AO32" s="69">
        <v>118675039</v>
      </c>
      <c r="AP32" s="69">
        <v>121799576</v>
      </c>
      <c r="AQ32" s="69">
        <v>154749254</v>
      </c>
      <c r="AR32" s="69">
        <v>143909656</v>
      </c>
      <c r="AS32" s="69">
        <v>178145413</v>
      </c>
      <c r="AT32" s="69">
        <v>163875484</v>
      </c>
      <c r="AU32" s="69">
        <v>186131682</v>
      </c>
      <c r="AV32">
        <v>206921574</v>
      </c>
      <c r="AW32">
        <v>228786450</v>
      </c>
      <c r="AX32">
        <v>217541120</v>
      </c>
    </row>
    <row r="33" spans="1:50" ht="14.5" x14ac:dyDescent="0.35">
      <c r="A33" s="68" t="s">
        <v>65</v>
      </c>
      <c r="B33" s="68" t="str">
        <f>VLOOKUP(Tabelle_Abfrage_von_MS_Access_Database[[#This Row],[LAND]],Texte!$A$4:$C$261,Texte!$A$1+1,FALSE)</f>
        <v>Lettland</v>
      </c>
      <c r="C33" s="68" t="s">
        <v>522</v>
      </c>
      <c r="D33" s="68" t="s">
        <v>557</v>
      </c>
      <c r="E33" s="69">
        <v>0</v>
      </c>
      <c r="F33" s="69">
        <v>0</v>
      </c>
      <c r="G33" s="69">
        <v>0</v>
      </c>
      <c r="H33" s="69">
        <v>0</v>
      </c>
      <c r="I33" s="69">
        <v>0</v>
      </c>
      <c r="J33" s="69">
        <v>0</v>
      </c>
      <c r="K33" s="69">
        <v>0</v>
      </c>
      <c r="L33" s="69">
        <v>0</v>
      </c>
      <c r="M33" s="69">
        <v>0</v>
      </c>
      <c r="N33" s="69">
        <v>0</v>
      </c>
      <c r="O33" s="69">
        <v>0</v>
      </c>
      <c r="P33" s="69">
        <v>0</v>
      </c>
      <c r="Q33" s="69">
        <v>0</v>
      </c>
      <c r="R33" s="69">
        <v>0</v>
      </c>
      <c r="S33" s="69">
        <v>2563000</v>
      </c>
      <c r="T33" s="69">
        <v>4694000</v>
      </c>
      <c r="U33" s="69">
        <v>8518000</v>
      </c>
      <c r="V33" s="69">
        <v>16426597</v>
      </c>
      <c r="W33" s="69">
        <v>13979543</v>
      </c>
      <c r="X33" s="69">
        <v>19229234</v>
      </c>
      <c r="Y33" s="69">
        <v>31464414</v>
      </c>
      <c r="Z33" s="69">
        <v>36243759</v>
      </c>
      <c r="AA33" s="69">
        <v>37216560</v>
      </c>
      <c r="AB33" s="69">
        <v>63298695</v>
      </c>
      <c r="AC33" s="69">
        <v>79803787</v>
      </c>
      <c r="AD33" s="69">
        <v>76913649</v>
      </c>
      <c r="AE33" s="69">
        <v>88333339</v>
      </c>
      <c r="AF33" s="69">
        <v>107873176</v>
      </c>
      <c r="AG33" s="69">
        <v>159746919</v>
      </c>
      <c r="AH33" s="69">
        <v>178469185</v>
      </c>
      <c r="AI33" s="69">
        <v>139736310</v>
      </c>
      <c r="AJ33" s="69">
        <v>68541125</v>
      </c>
      <c r="AK33" s="69">
        <v>95341032</v>
      </c>
      <c r="AL33" s="69">
        <v>117815460</v>
      </c>
      <c r="AM33" s="69">
        <v>140212729</v>
      </c>
      <c r="AN33" s="69">
        <v>152428922</v>
      </c>
      <c r="AO33" s="69">
        <v>150937025</v>
      </c>
      <c r="AP33" s="69">
        <v>134941204</v>
      </c>
      <c r="AQ33" s="69">
        <v>132676750</v>
      </c>
      <c r="AR33" s="69">
        <v>129493868</v>
      </c>
      <c r="AS33" s="69">
        <v>152250714</v>
      </c>
      <c r="AT33" s="69">
        <v>152629538</v>
      </c>
      <c r="AU33" s="69">
        <v>142451750</v>
      </c>
      <c r="AV33">
        <v>147783197</v>
      </c>
      <c r="AW33">
        <v>201122363</v>
      </c>
      <c r="AX33">
        <v>218912347</v>
      </c>
    </row>
    <row r="34" spans="1:50" ht="14.5" x14ac:dyDescent="0.35">
      <c r="A34" s="68" t="s">
        <v>67</v>
      </c>
      <c r="B34" s="68" t="str">
        <f>VLOOKUP(Tabelle_Abfrage_von_MS_Access_Database[[#This Row],[LAND]],Texte!$A$4:$C$261,Texte!$A$1+1,FALSE)</f>
        <v>Litauen</v>
      </c>
      <c r="C34" s="68" t="s">
        <v>522</v>
      </c>
      <c r="D34" s="68" t="s">
        <v>557</v>
      </c>
      <c r="E34" s="69">
        <v>0</v>
      </c>
      <c r="F34" s="69">
        <v>0</v>
      </c>
      <c r="G34" s="69">
        <v>0</v>
      </c>
      <c r="H34" s="69">
        <v>0</v>
      </c>
      <c r="I34" s="69">
        <v>0</v>
      </c>
      <c r="J34" s="69">
        <v>0</v>
      </c>
      <c r="K34" s="69">
        <v>0</v>
      </c>
      <c r="L34" s="69">
        <v>0</v>
      </c>
      <c r="M34" s="69">
        <v>0</v>
      </c>
      <c r="N34" s="69">
        <v>0</v>
      </c>
      <c r="O34" s="69">
        <v>0</v>
      </c>
      <c r="P34" s="69">
        <v>0</v>
      </c>
      <c r="Q34" s="69">
        <v>0</v>
      </c>
      <c r="R34" s="69">
        <v>0</v>
      </c>
      <c r="S34" s="69">
        <v>4789000</v>
      </c>
      <c r="T34" s="69">
        <v>4676000</v>
      </c>
      <c r="U34" s="69">
        <v>7830000</v>
      </c>
      <c r="V34" s="69">
        <v>16513374</v>
      </c>
      <c r="W34" s="69">
        <v>25104112</v>
      </c>
      <c r="X34" s="69">
        <v>34370837</v>
      </c>
      <c r="Y34" s="69">
        <v>42429225</v>
      </c>
      <c r="Z34" s="69">
        <v>47683766</v>
      </c>
      <c r="AA34" s="69">
        <v>43699270</v>
      </c>
      <c r="AB34" s="69">
        <v>60140148</v>
      </c>
      <c r="AC34" s="69">
        <v>71491388</v>
      </c>
      <c r="AD34" s="69">
        <v>113562954</v>
      </c>
      <c r="AE34" s="69">
        <v>106992365</v>
      </c>
      <c r="AF34" s="69">
        <v>151949874</v>
      </c>
      <c r="AG34" s="69">
        <v>148193534</v>
      </c>
      <c r="AH34" s="69">
        <v>166755074</v>
      </c>
      <c r="AI34" s="69">
        <v>158471316</v>
      </c>
      <c r="AJ34" s="69">
        <v>103367502</v>
      </c>
      <c r="AK34" s="69">
        <v>122075988</v>
      </c>
      <c r="AL34" s="69">
        <v>157196841</v>
      </c>
      <c r="AM34" s="69">
        <v>177921524</v>
      </c>
      <c r="AN34" s="69">
        <v>182337805</v>
      </c>
      <c r="AO34" s="69">
        <v>171916054</v>
      </c>
      <c r="AP34" s="69">
        <v>174794434</v>
      </c>
      <c r="AQ34" s="69">
        <v>190676423</v>
      </c>
      <c r="AR34" s="69">
        <v>218342973</v>
      </c>
      <c r="AS34" s="69">
        <v>244796463</v>
      </c>
      <c r="AT34" s="69">
        <v>268626603</v>
      </c>
      <c r="AU34" s="69">
        <v>268499282</v>
      </c>
      <c r="AV34">
        <v>348100531</v>
      </c>
      <c r="AW34">
        <v>408414631</v>
      </c>
      <c r="AX34">
        <v>423138184</v>
      </c>
    </row>
    <row r="35" spans="1:50" ht="14.5" x14ac:dyDescent="0.35">
      <c r="A35" s="68" t="s">
        <v>69</v>
      </c>
      <c r="B35" s="68" t="str">
        <f>VLOOKUP(Tabelle_Abfrage_von_MS_Access_Database[[#This Row],[LAND]],Texte!$A$4:$C$261,Texte!$A$1+1,FALSE)</f>
        <v>Polen</v>
      </c>
      <c r="C35" s="68" t="s">
        <v>508</v>
      </c>
      <c r="D35" s="68" t="s">
        <v>557</v>
      </c>
      <c r="E35" s="69">
        <v>390789000</v>
      </c>
      <c r="F35" s="69">
        <v>421982000</v>
      </c>
      <c r="G35" s="69">
        <v>439975000</v>
      </c>
      <c r="H35" s="69">
        <v>255424000</v>
      </c>
      <c r="I35" s="69">
        <v>164965000</v>
      </c>
      <c r="J35" s="69">
        <v>225394000</v>
      </c>
      <c r="K35" s="69">
        <v>247170000</v>
      </c>
      <c r="L35" s="69">
        <v>311659000</v>
      </c>
      <c r="M35" s="69">
        <v>249506000</v>
      </c>
      <c r="N35" s="69">
        <v>216988000</v>
      </c>
      <c r="O35" s="69">
        <v>270476000</v>
      </c>
      <c r="P35" s="69">
        <v>380676000</v>
      </c>
      <c r="Q35" s="69">
        <v>317812000</v>
      </c>
      <c r="R35" s="69">
        <v>543113000</v>
      </c>
      <c r="S35" s="69">
        <v>512957000</v>
      </c>
      <c r="T35" s="69">
        <v>467586000</v>
      </c>
      <c r="U35" s="69">
        <v>437551000</v>
      </c>
      <c r="V35" s="69">
        <v>574214937</v>
      </c>
      <c r="W35" s="69">
        <v>658257768</v>
      </c>
      <c r="X35" s="69">
        <v>859217202</v>
      </c>
      <c r="Y35" s="69">
        <v>900824151</v>
      </c>
      <c r="Z35" s="69">
        <v>953169845</v>
      </c>
      <c r="AA35" s="69">
        <v>1109777966</v>
      </c>
      <c r="AB35" s="69">
        <v>1215255346</v>
      </c>
      <c r="AC35" s="69">
        <v>1301460562</v>
      </c>
      <c r="AD35" s="69">
        <v>1335050698</v>
      </c>
      <c r="AE35" s="69">
        <v>1630291788</v>
      </c>
      <c r="AF35" s="69">
        <v>1890760960</v>
      </c>
      <c r="AG35" s="69">
        <v>2392516417</v>
      </c>
      <c r="AH35" s="69">
        <v>3012768301</v>
      </c>
      <c r="AI35" s="69">
        <v>3270697305</v>
      </c>
      <c r="AJ35" s="69">
        <v>2447999610</v>
      </c>
      <c r="AK35" s="69">
        <v>2745165026</v>
      </c>
      <c r="AL35" s="69">
        <v>3409332860</v>
      </c>
      <c r="AM35" s="69">
        <v>3440376709</v>
      </c>
      <c r="AN35" s="69">
        <v>3599360411</v>
      </c>
      <c r="AO35" s="69">
        <v>3840361137</v>
      </c>
      <c r="AP35" s="69">
        <v>4156387754</v>
      </c>
      <c r="AQ35" s="69">
        <v>3921968217</v>
      </c>
      <c r="AR35" s="69">
        <v>4354037458</v>
      </c>
      <c r="AS35" s="69">
        <v>4779466457</v>
      </c>
      <c r="AT35" s="69">
        <v>5164918322</v>
      </c>
      <c r="AU35" s="69">
        <v>5507481488</v>
      </c>
      <c r="AV35">
        <v>6572504149</v>
      </c>
      <c r="AW35">
        <v>7358562130</v>
      </c>
      <c r="AX35">
        <v>7344730822</v>
      </c>
    </row>
    <row r="36" spans="1:50" ht="14.5" x14ac:dyDescent="0.35">
      <c r="A36" s="68" t="s">
        <v>71</v>
      </c>
      <c r="B36" s="68" t="str">
        <f>VLOOKUP(Tabelle_Abfrage_von_MS_Access_Database[[#This Row],[LAND]],Texte!$A$4:$C$261,Texte!$A$1+1,FALSE)</f>
        <v>Tschechische Republik</v>
      </c>
      <c r="C36" s="68" t="s">
        <v>523</v>
      </c>
      <c r="D36" s="68" t="s">
        <v>557</v>
      </c>
      <c r="E36" s="69">
        <v>0</v>
      </c>
      <c r="F36" s="69">
        <v>0</v>
      </c>
      <c r="G36" s="69">
        <v>0</v>
      </c>
      <c r="H36" s="69">
        <v>0</v>
      </c>
      <c r="I36" s="69">
        <v>0</v>
      </c>
      <c r="J36" s="69">
        <v>0</v>
      </c>
      <c r="K36" s="69">
        <v>0</v>
      </c>
      <c r="L36" s="69">
        <v>0</v>
      </c>
      <c r="M36" s="69">
        <v>0</v>
      </c>
      <c r="N36" s="69">
        <v>0</v>
      </c>
      <c r="O36" s="69">
        <v>0</v>
      </c>
      <c r="P36" s="69">
        <v>0</v>
      </c>
      <c r="Q36" s="69">
        <v>0</v>
      </c>
      <c r="R36" s="69">
        <v>0</v>
      </c>
      <c r="S36" s="69">
        <v>0</v>
      </c>
      <c r="T36" s="69">
        <v>824428000</v>
      </c>
      <c r="U36" s="69">
        <v>975715000</v>
      </c>
      <c r="V36" s="69">
        <v>1154086903</v>
      </c>
      <c r="W36" s="69">
        <v>1290067932</v>
      </c>
      <c r="X36" s="69">
        <v>1526538832</v>
      </c>
      <c r="Y36" s="69">
        <v>1585472332</v>
      </c>
      <c r="Z36" s="69">
        <v>1698042916</v>
      </c>
      <c r="AA36" s="69">
        <v>1999436150</v>
      </c>
      <c r="AB36" s="69">
        <v>2151289977</v>
      </c>
      <c r="AC36" s="69">
        <v>2247510676</v>
      </c>
      <c r="AD36" s="69">
        <v>2410706068</v>
      </c>
      <c r="AE36" s="69">
        <v>2751726100</v>
      </c>
      <c r="AF36" s="69">
        <v>2925444199</v>
      </c>
      <c r="AG36" s="69">
        <v>3384216031</v>
      </c>
      <c r="AH36" s="69">
        <v>4088192631</v>
      </c>
      <c r="AI36" s="69">
        <v>4401729866</v>
      </c>
      <c r="AJ36" s="69">
        <v>3429954375</v>
      </c>
      <c r="AK36" s="69">
        <v>4144721253</v>
      </c>
      <c r="AL36" s="69">
        <v>4763253874</v>
      </c>
      <c r="AM36" s="69">
        <v>4471335490</v>
      </c>
      <c r="AN36" s="69">
        <v>4387784642</v>
      </c>
      <c r="AO36" s="69">
        <v>4354533477</v>
      </c>
      <c r="AP36" s="69">
        <v>4726645323</v>
      </c>
      <c r="AQ36" s="69">
        <v>4789731310</v>
      </c>
      <c r="AR36" s="69">
        <v>5266667646</v>
      </c>
      <c r="AS36" s="69">
        <v>5666205628</v>
      </c>
      <c r="AT36" s="69">
        <v>5405068930</v>
      </c>
      <c r="AU36" s="69">
        <v>5083330614</v>
      </c>
      <c r="AV36">
        <v>6030343354</v>
      </c>
      <c r="AW36">
        <v>7083310648</v>
      </c>
      <c r="AX36">
        <v>7155615418</v>
      </c>
    </row>
    <row r="37" spans="1:50" ht="14.5" x14ac:dyDescent="0.35">
      <c r="A37" s="68" t="s">
        <v>73</v>
      </c>
      <c r="B37" s="68" t="str">
        <f>VLOOKUP(Tabelle_Abfrage_von_MS_Access_Database[[#This Row],[LAND]],Texte!$A$4:$C$261,Texte!$A$1+1,FALSE)</f>
        <v>Slowakei</v>
      </c>
      <c r="C37" s="68" t="s">
        <v>523</v>
      </c>
      <c r="D37" s="68" t="s">
        <v>557</v>
      </c>
      <c r="E37" s="69">
        <v>0</v>
      </c>
      <c r="F37" s="69">
        <v>0</v>
      </c>
      <c r="G37" s="69">
        <v>0</v>
      </c>
      <c r="H37" s="69">
        <v>0</v>
      </c>
      <c r="I37" s="69">
        <v>0</v>
      </c>
      <c r="J37" s="69">
        <v>0</v>
      </c>
      <c r="K37" s="69">
        <v>0</v>
      </c>
      <c r="L37" s="69">
        <v>0</v>
      </c>
      <c r="M37" s="69">
        <v>0</v>
      </c>
      <c r="N37" s="69">
        <v>0</v>
      </c>
      <c r="O37" s="69">
        <v>0</v>
      </c>
      <c r="P37" s="69">
        <v>0</v>
      </c>
      <c r="Q37" s="69">
        <v>0</v>
      </c>
      <c r="R37" s="69">
        <v>0</v>
      </c>
      <c r="S37" s="69">
        <v>0</v>
      </c>
      <c r="T37" s="69">
        <v>297428000</v>
      </c>
      <c r="U37" s="69">
        <v>326534000</v>
      </c>
      <c r="V37" s="69">
        <v>414230507</v>
      </c>
      <c r="W37" s="69">
        <v>562331663</v>
      </c>
      <c r="X37" s="69">
        <v>700689853</v>
      </c>
      <c r="Y37" s="69">
        <v>689906150</v>
      </c>
      <c r="Z37" s="69">
        <v>672008071</v>
      </c>
      <c r="AA37" s="69">
        <v>767817839</v>
      </c>
      <c r="AB37" s="69">
        <v>946017226</v>
      </c>
      <c r="AC37" s="69">
        <v>1065682619</v>
      </c>
      <c r="AD37" s="69">
        <v>1187466924</v>
      </c>
      <c r="AE37" s="69">
        <v>1377333268</v>
      </c>
      <c r="AF37" s="69">
        <v>1640001247</v>
      </c>
      <c r="AG37" s="69">
        <v>1767695805</v>
      </c>
      <c r="AH37" s="69">
        <v>2056003023</v>
      </c>
      <c r="AI37" s="69">
        <v>2382950515</v>
      </c>
      <c r="AJ37" s="69">
        <v>1870129543</v>
      </c>
      <c r="AK37" s="69">
        <v>2276489801</v>
      </c>
      <c r="AL37" s="69">
        <v>2431267984</v>
      </c>
      <c r="AM37" s="69">
        <v>2659838500</v>
      </c>
      <c r="AN37" s="69">
        <v>2507229481</v>
      </c>
      <c r="AO37" s="69">
        <v>2607559090</v>
      </c>
      <c r="AP37" s="69">
        <v>2713103552</v>
      </c>
      <c r="AQ37" s="69">
        <v>2811489710</v>
      </c>
      <c r="AR37" s="69">
        <v>2938664003</v>
      </c>
      <c r="AS37" s="69">
        <v>3185285830</v>
      </c>
      <c r="AT37" s="69">
        <v>3179057150</v>
      </c>
      <c r="AU37" s="69">
        <v>2901045137</v>
      </c>
      <c r="AV37">
        <v>3192189318</v>
      </c>
      <c r="AW37">
        <v>3795556855</v>
      </c>
      <c r="AX37">
        <v>3922277266</v>
      </c>
    </row>
    <row r="38" spans="1:50" ht="14.5" x14ac:dyDescent="0.35">
      <c r="A38" s="68" t="s">
        <v>75</v>
      </c>
      <c r="B38" s="68" t="str">
        <f>VLOOKUP(Tabelle_Abfrage_von_MS_Access_Database[[#This Row],[LAND]],Texte!$A$4:$C$261,Texte!$A$1+1,FALSE)</f>
        <v>Ungarn</v>
      </c>
      <c r="C38" s="68" t="s">
        <v>508</v>
      </c>
      <c r="D38" s="68" t="s">
        <v>557</v>
      </c>
      <c r="E38" s="69">
        <v>394495000</v>
      </c>
      <c r="F38" s="69">
        <v>342680000</v>
      </c>
      <c r="G38" s="69">
        <v>358282000</v>
      </c>
      <c r="H38" s="69">
        <v>486086000</v>
      </c>
      <c r="I38" s="69">
        <v>467095000</v>
      </c>
      <c r="J38" s="69">
        <v>444193000</v>
      </c>
      <c r="K38" s="69">
        <v>505787000</v>
      </c>
      <c r="L38" s="69">
        <v>665842000</v>
      </c>
      <c r="M38" s="69">
        <v>567194000</v>
      </c>
      <c r="N38" s="69">
        <v>481383000</v>
      </c>
      <c r="O38" s="69">
        <v>495980000</v>
      </c>
      <c r="P38" s="69">
        <v>630541000</v>
      </c>
      <c r="Q38" s="69">
        <v>761392000</v>
      </c>
      <c r="R38" s="69">
        <v>1055776000</v>
      </c>
      <c r="S38" s="69">
        <v>1130670000</v>
      </c>
      <c r="T38" s="69">
        <v>1202713000</v>
      </c>
      <c r="U38" s="69">
        <v>1457051000</v>
      </c>
      <c r="V38" s="69">
        <v>1534551054</v>
      </c>
      <c r="W38" s="69">
        <v>1768717444</v>
      </c>
      <c r="X38" s="69">
        <v>2541980675</v>
      </c>
      <c r="Y38" s="69">
        <v>2779833492</v>
      </c>
      <c r="Z38" s="69">
        <v>2966296259</v>
      </c>
      <c r="AA38" s="69">
        <v>3466373351</v>
      </c>
      <c r="AB38" s="69">
        <v>3316046581</v>
      </c>
      <c r="AC38" s="69">
        <v>3335457309</v>
      </c>
      <c r="AD38" s="69">
        <v>3173710533</v>
      </c>
      <c r="AE38" s="69">
        <v>3338074530</v>
      </c>
      <c r="AF38" s="69">
        <v>3222842140</v>
      </c>
      <c r="AG38" s="69">
        <v>3507973924</v>
      </c>
      <c r="AH38" s="69">
        <v>4004610546</v>
      </c>
      <c r="AI38" s="69">
        <v>4213615488</v>
      </c>
      <c r="AJ38" s="69">
        <v>2916889099</v>
      </c>
      <c r="AK38" s="69">
        <v>3345091874</v>
      </c>
      <c r="AL38" s="69">
        <v>3775052989</v>
      </c>
      <c r="AM38" s="69">
        <v>3687989483</v>
      </c>
      <c r="AN38" s="69">
        <v>3850839046</v>
      </c>
      <c r="AO38" s="69">
        <v>4289501806</v>
      </c>
      <c r="AP38" s="69">
        <v>4317969727</v>
      </c>
      <c r="AQ38" s="69">
        <v>4381163366</v>
      </c>
      <c r="AR38" s="69">
        <v>4822511964</v>
      </c>
      <c r="AS38" s="69">
        <v>5114446043</v>
      </c>
      <c r="AT38" s="69">
        <v>5587846083</v>
      </c>
      <c r="AU38" s="69">
        <v>4948419337</v>
      </c>
      <c r="AV38">
        <v>6133960417</v>
      </c>
      <c r="AW38">
        <v>7733796515</v>
      </c>
      <c r="AX38">
        <v>7272093647</v>
      </c>
    </row>
    <row r="39" spans="1:50" ht="14.5" x14ac:dyDescent="0.35">
      <c r="A39" s="68" t="s">
        <v>77</v>
      </c>
      <c r="B39" s="68" t="str">
        <f>VLOOKUP(Tabelle_Abfrage_von_MS_Access_Database[[#This Row],[LAND]],Texte!$A$4:$C$261,Texte!$A$1+1,FALSE)</f>
        <v>Rumänien</v>
      </c>
      <c r="C39" s="68" t="s">
        <v>508</v>
      </c>
      <c r="D39" s="68" t="s">
        <v>557</v>
      </c>
      <c r="E39" s="69">
        <v>154121000</v>
      </c>
      <c r="F39" s="69">
        <v>208408000</v>
      </c>
      <c r="G39" s="69">
        <v>185223000</v>
      </c>
      <c r="H39" s="69">
        <v>167097000</v>
      </c>
      <c r="I39" s="69">
        <v>120898000</v>
      </c>
      <c r="J39" s="69">
        <v>74706000</v>
      </c>
      <c r="K39" s="69">
        <v>81621000</v>
      </c>
      <c r="L39" s="69">
        <v>82159000</v>
      </c>
      <c r="M39" s="69">
        <v>72622000</v>
      </c>
      <c r="N39" s="69">
        <v>65363000</v>
      </c>
      <c r="O39" s="69">
        <v>37108000</v>
      </c>
      <c r="P39" s="69">
        <v>37196000</v>
      </c>
      <c r="Q39" s="69">
        <v>73884000</v>
      </c>
      <c r="R39" s="69">
        <v>77139000</v>
      </c>
      <c r="S39" s="69">
        <v>86913000</v>
      </c>
      <c r="T39" s="69">
        <v>94047000</v>
      </c>
      <c r="U39" s="69">
        <v>108516000</v>
      </c>
      <c r="V39" s="69">
        <v>182732317</v>
      </c>
      <c r="W39" s="69">
        <v>237409153</v>
      </c>
      <c r="X39" s="69">
        <v>278763906</v>
      </c>
      <c r="Y39" s="69">
        <v>370840423</v>
      </c>
      <c r="Z39" s="69">
        <v>371404011</v>
      </c>
      <c r="AA39" s="69">
        <v>506397968</v>
      </c>
      <c r="AB39" s="69">
        <v>685841417</v>
      </c>
      <c r="AC39" s="69">
        <v>816945001</v>
      </c>
      <c r="AD39" s="69">
        <v>1020731809</v>
      </c>
      <c r="AE39" s="69">
        <v>1235764486</v>
      </c>
      <c r="AF39" s="69">
        <v>1437994938</v>
      </c>
      <c r="AG39" s="69">
        <v>1803993829</v>
      </c>
      <c r="AH39" s="69">
        <v>2120923276</v>
      </c>
      <c r="AI39" s="69">
        <v>2397974295</v>
      </c>
      <c r="AJ39" s="69">
        <v>1601448729</v>
      </c>
      <c r="AK39" s="69">
        <v>1690501677</v>
      </c>
      <c r="AL39" s="69">
        <v>1864725123</v>
      </c>
      <c r="AM39" s="69">
        <v>1948101418</v>
      </c>
      <c r="AN39" s="69">
        <v>1802281263</v>
      </c>
      <c r="AO39" s="69">
        <v>1880889669</v>
      </c>
      <c r="AP39" s="69">
        <v>1994438939</v>
      </c>
      <c r="AQ39" s="69">
        <v>2079665786</v>
      </c>
      <c r="AR39" s="69">
        <v>2276628891</v>
      </c>
      <c r="AS39" s="69">
        <v>2559623608</v>
      </c>
      <c r="AT39" s="69">
        <v>2513598761</v>
      </c>
      <c r="AU39" s="69">
        <v>2356988901</v>
      </c>
      <c r="AV39">
        <v>2981257183</v>
      </c>
      <c r="AW39">
        <v>3756483890</v>
      </c>
      <c r="AX39">
        <v>3919996138</v>
      </c>
    </row>
    <row r="40" spans="1:50" ht="14.5" x14ac:dyDescent="0.35">
      <c r="A40" s="68" t="s">
        <v>79</v>
      </c>
      <c r="B40" s="68" t="str">
        <f>VLOOKUP(Tabelle_Abfrage_von_MS_Access_Database[[#This Row],[LAND]],Texte!$A$4:$C$261,Texte!$A$1+1,FALSE)</f>
        <v>Bulgarien</v>
      </c>
      <c r="C40" s="68" t="s">
        <v>508</v>
      </c>
      <c r="D40" s="68" t="s">
        <v>557</v>
      </c>
      <c r="E40" s="69">
        <v>65507000</v>
      </c>
      <c r="F40" s="69">
        <v>92080000</v>
      </c>
      <c r="G40" s="69">
        <v>110765000</v>
      </c>
      <c r="H40" s="69">
        <v>137450000</v>
      </c>
      <c r="I40" s="69">
        <v>151954000</v>
      </c>
      <c r="J40" s="69">
        <v>189113000</v>
      </c>
      <c r="K40" s="69">
        <v>166265000</v>
      </c>
      <c r="L40" s="69">
        <v>196665000</v>
      </c>
      <c r="M40" s="69">
        <v>176512000</v>
      </c>
      <c r="N40" s="69">
        <v>140184000</v>
      </c>
      <c r="O40" s="69">
        <v>176151000</v>
      </c>
      <c r="P40" s="69">
        <v>149273000</v>
      </c>
      <c r="Q40" s="69">
        <v>101060000</v>
      </c>
      <c r="R40" s="69">
        <v>101157000</v>
      </c>
      <c r="S40" s="69">
        <v>100562000</v>
      </c>
      <c r="T40" s="69">
        <v>98655000</v>
      </c>
      <c r="U40" s="69">
        <v>96775000</v>
      </c>
      <c r="V40" s="69">
        <v>111235582</v>
      </c>
      <c r="W40" s="69">
        <v>103036554</v>
      </c>
      <c r="X40" s="69">
        <v>128686053</v>
      </c>
      <c r="Y40" s="69">
        <v>182080293</v>
      </c>
      <c r="Z40" s="69">
        <v>205216708</v>
      </c>
      <c r="AA40" s="69">
        <v>216476726</v>
      </c>
      <c r="AB40" s="69">
        <v>245446125</v>
      </c>
      <c r="AC40" s="69">
        <v>265106513</v>
      </c>
      <c r="AD40" s="69">
        <v>295579100</v>
      </c>
      <c r="AE40" s="69">
        <v>388980696</v>
      </c>
      <c r="AF40" s="69">
        <v>450751246</v>
      </c>
      <c r="AG40" s="69">
        <v>557099096</v>
      </c>
      <c r="AH40" s="69">
        <v>723769169</v>
      </c>
      <c r="AI40" s="69">
        <v>893818751</v>
      </c>
      <c r="AJ40" s="69">
        <v>586422922</v>
      </c>
      <c r="AK40" s="69">
        <v>601096869</v>
      </c>
      <c r="AL40" s="69">
        <v>624989881</v>
      </c>
      <c r="AM40" s="69">
        <v>633893138</v>
      </c>
      <c r="AN40" s="69">
        <v>621918934</v>
      </c>
      <c r="AO40" s="69">
        <v>644435296</v>
      </c>
      <c r="AP40" s="69">
        <v>643635471</v>
      </c>
      <c r="AQ40" s="69">
        <v>649055867</v>
      </c>
      <c r="AR40" s="69">
        <v>693379716</v>
      </c>
      <c r="AS40" s="69">
        <v>734897140</v>
      </c>
      <c r="AT40" s="69">
        <v>813071263</v>
      </c>
      <c r="AU40" s="69">
        <v>765357703</v>
      </c>
      <c r="AV40">
        <v>836033975</v>
      </c>
      <c r="AW40">
        <v>1147310857</v>
      </c>
      <c r="AX40">
        <v>1200126817</v>
      </c>
    </row>
    <row r="41" spans="1:50" ht="14.5" x14ac:dyDescent="0.35">
      <c r="A41" s="68" t="s">
        <v>81</v>
      </c>
      <c r="B41" s="68" t="str">
        <f>VLOOKUP(Tabelle_Abfrage_von_MS_Access_Database[[#This Row],[LAND]],Texte!$A$4:$C$261,Texte!$A$1+1,FALSE)</f>
        <v>Albanien</v>
      </c>
      <c r="C41" s="68" t="s">
        <v>508</v>
      </c>
      <c r="D41" s="68" t="s">
        <v>557</v>
      </c>
      <c r="E41" s="69">
        <v>2803000</v>
      </c>
      <c r="F41" s="69">
        <v>4200000</v>
      </c>
      <c r="G41" s="69">
        <v>6351000</v>
      </c>
      <c r="H41" s="69">
        <v>7690000</v>
      </c>
      <c r="I41" s="69">
        <v>8364000</v>
      </c>
      <c r="J41" s="69">
        <v>6707000</v>
      </c>
      <c r="K41" s="69">
        <v>6845000</v>
      </c>
      <c r="L41" s="69">
        <v>11044000</v>
      </c>
      <c r="M41" s="69">
        <v>7173000</v>
      </c>
      <c r="N41" s="69">
        <v>5112000</v>
      </c>
      <c r="O41" s="69">
        <v>7927000</v>
      </c>
      <c r="P41" s="69">
        <v>9727000</v>
      </c>
      <c r="Q41" s="69">
        <v>9955000</v>
      </c>
      <c r="R41" s="69">
        <v>7211000</v>
      </c>
      <c r="S41" s="69">
        <v>3896000</v>
      </c>
      <c r="T41" s="69">
        <v>5181000</v>
      </c>
      <c r="U41" s="69">
        <v>4746000</v>
      </c>
      <c r="V41" s="69">
        <v>10753313</v>
      </c>
      <c r="W41" s="69">
        <v>5452133</v>
      </c>
      <c r="X41" s="69">
        <v>10611241</v>
      </c>
      <c r="Y41" s="69">
        <v>7682677</v>
      </c>
      <c r="Z41" s="69">
        <v>12107800</v>
      </c>
      <c r="AA41" s="69">
        <v>9915978</v>
      </c>
      <c r="AB41" s="69">
        <v>9171347</v>
      </c>
      <c r="AC41" s="69">
        <v>16508358</v>
      </c>
      <c r="AD41" s="69">
        <v>17590238</v>
      </c>
      <c r="AE41" s="69">
        <v>24405568</v>
      </c>
      <c r="AF41" s="69">
        <v>40102692</v>
      </c>
      <c r="AG41" s="69">
        <v>32757738</v>
      </c>
      <c r="AH41" s="69">
        <v>47068247</v>
      </c>
      <c r="AI41" s="69">
        <v>56150200</v>
      </c>
      <c r="AJ41" s="69">
        <v>56281863</v>
      </c>
      <c r="AK41" s="69">
        <v>60344617</v>
      </c>
      <c r="AL41" s="69">
        <v>74385472</v>
      </c>
      <c r="AM41" s="69">
        <v>55166029</v>
      </c>
      <c r="AN41" s="69">
        <v>49202357</v>
      </c>
      <c r="AO41" s="69">
        <v>49826646</v>
      </c>
      <c r="AP41" s="69">
        <v>59796038</v>
      </c>
      <c r="AQ41" s="69">
        <v>51546176</v>
      </c>
      <c r="AR41" s="69">
        <v>59770414</v>
      </c>
      <c r="AS41" s="69">
        <v>57082952</v>
      </c>
      <c r="AT41" s="69">
        <v>56445082</v>
      </c>
      <c r="AU41" s="69">
        <v>48134932</v>
      </c>
      <c r="AV41">
        <v>60041452</v>
      </c>
      <c r="AW41">
        <v>66261080</v>
      </c>
      <c r="AX41">
        <v>78844794</v>
      </c>
    </row>
    <row r="42" spans="1:50" ht="14.5" x14ac:dyDescent="0.35">
      <c r="A42" s="68" t="s">
        <v>83</v>
      </c>
      <c r="B42" s="68" t="str">
        <f>VLOOKUP(Tabelle_Abfrage_von_MS_Access_Database[[#This Row],[LAND]],Texte!$A$4:$C$261,Texte!$A$1+1,FALSE)</f>
        <v>Ukraine</v>
      </c>
      <c r="C42" s="68" t="s">
        <v>522</v>
      </c>
      <c r="D42" s="68" t="s">
        <v>557</v>
      </c>
      <c r="E42" s="69">
        <v>0</v>
      </c>
      <c r="F42" s="69">
        <v>0</v>
      </c>
      <c r="G42" s="69">
        <v>0</v>
      </c>
      <c r="H42" s="69">
        <v>0</v>
      </c>
      <c r="I42" s="69">
        <v>0</v>
      </c>
      <c r="J42" s="69">
        <v>0</v>
      </c>
      <c r="K42" s="69">
        <v>0</v>
      </c>
      <c r="L42" s="69">
        <v>0</v>
      </c>
      <c r="M42" s="69">
        <v>0</v>
      </c>
      <c r="N42" s="69">
        <v>0</v>
      </c>
      <c r="O42" s="69">
        <v>0</v>
      </c>
      <c r="P42" s="69">
        <v>0</v>
      </c>
      <c r="Q42" s="69">
        <v>0</v>
      </c>
      <c r="R42" s="69">
        <v>0</v>
      </c>
      <c r="S42" s="69">
        <v>59643000</v>
      </c>
      <c r="T42" s="69">
        <v>46593000</v>
      </c>
      <c r="U42" s="69">
        <v>49925000</v>
      </c>
      <c r="V42" s="69">
        <v>88696674</v>
      </c>
      <c r="W42" s="69">
        <v>181268868</v>
      </c>
      <c r="X42" s="69">
        <v>189428199</v>
      </c>
      <c r="Y42" s="69">
        <v>174613923</v>
      </c>
      <c r="Z42" s="69">
        <v>130147665</v>
      </c>
      <c r="AA42" s="69">
        <v>212701602</v>
      </c>
      <c r="AB42" s="69">
        <v>269325404</v>
      </c>
      <c r="AC42" s="69">
        <v>273817147</v>
      </c>
      <c r="AD42" s="69">
        <v>366758537</v>
      </c>
      <c r="AE42" s="69">
        <v>367349301</v>
      </c>
      <c r="AF42" s="69">
        <v>469499591</v>
      </c>
      <c r="AG42" s="69">
        <v>653808135</v>
      </c>
      <c r="AH42" s="69">
        <v>739568713</v>
      </c>
      <c r="AI42" s="69">
        <v>903002196</v>
      </c>
      <c r="AJ42" s="69">
        <v>529824131</v>
      </c>
      <c r="AK42" s="69">
        <v>666763825</v>
      </c>
      <c r="AL42" s="69">
        <v>674410896</v>
      </c>
      <c r="AM42" s="69">
        <v>674053731</v>
      </c>
      <c r="AN42" s="69">
        <v>681940002</v>
      </c>
      <c r="AO42" s="69">
        <v>511992758</v>
      </c>
      <c r="AP42" s="69">
        <v>335338467</v>
      </c>
      <c r="AQ42" s="69">
        <v>401777249</v>
      </c>
      <c r="AR42" s="69">
        <v>465494174</v>
      </c>
      <c r="AS42" s="69">
        <v>496564834</v>
      </c>
      <c r="AT42" s="69">
        <v>572075610</v>
      </c>
      <c r="AU42" s="69">
        <v>529056317</v>
      </c>
      <c r="AV42">
        <v>621408534</v>
      </c>
      <c r="AW42">
        <v>507141638</v>
      </c>
      <c r="AX42">
        <v>616266197</v>
      </c>
    </row>
    <row r="43" spans="1:50" ht="14.5" x14ac:dyDescent="0.35">
      <c r="A43" s="68" t="s">
        <v>85</v>
      </c>
      <c r="B43" s="68" t="str">
        <f>VLOOKUP(Tabelle_Abfrage_von_MS_Access_Database[[#This Row],[LAND]],Texte!$A$4:$C$261,Texte!$A$1+1,FALSE)</f>
        <v>Weißrussland</v>
      </c>
      <c r="C43" s="68" t="s">
        <v>522</v>
      </c>
      <c r="D43" s="68" t="s">
        <v>557</v>
      </c>
      <c r="E43" s="69">
        <v>0</v>
      </c>
      <c r="F43" s="69">
        <v>0</v>
      </c>
      <c r="G43" s="69">
        <v>0</v>
      </c>
      <c r="H43" s="69">
        <v>0</v>
      </c>
      <c r="I43" s="69">
        <v>0</v>
      </c>
      <c r="J43" s="69">
        <v>0</v>
      </c>
      <c r="K43" s="69">
        <v>0</v>
      </c>
      <c r="L43" s="69">
        <v>0</v>
      </c>
      <c r="M43" s="69">
        <v>0</v>
      </c>
      <c r="N43" s="69">
        <v>0</v>
      </c>
      <c r="O43" s="69">
        <v>0</v>
      </c>
      <c r="P43" s="69">
        <v>0</v>
      </c>
      <c r="Q43" s="69">
        <v>0</v>
      </c>
      <c r="R43" s="69">
        <v>0</v>
      </c>
      <c r="S43" s="69">
        <v>4598000</v>
      </c>
      <c r="T43" s="69">
        <v>13814000</v>
      </c>
      <c r="U43" s="69">
        <v>17478000</v>
      </c>
      <c r="V43" s="69">
        <v>22989038</v>
      </c>
      <c r="W43" s="69">
        <v>25588255</v>
      </c>
      <c r="X43" s="69">
        <v>41646825</v>
      </c>
      <c r="Y43" s="69">
        <v>39787289</v>
      </c>
      <c r="Z43" s="69">
        <v>30095066</v>
      </c>
      <c r="AA43" s="69">
        <v>50015540</v>
      </c>
      <c r="AB43" s="69">
        <v>39603262</v>
      </c>
      <c r="AC43" s="69">
        <v>38855650</v>
      </c>
      <c r="AD43" s="69">
        <v>49179949</v>
      </c>
      <c r="AE43" s="69">
        <v>52727298</v>
      </c>
      <c r="AF43" s="69">
        <v>69860147</v>
      </c>
      <c r="AG43" s="69">
        <v>79804332</v>
      </c>
      <c r="AH43" s="69">
        <v>105704436</v>
      </c>
      <c r="AI43" s="69">
        <v>142248009</v>
      </c>
      <c r="AJ43" s="69">
        <v>126404420</v>
      </c>
      <c r="AK43" s="69">
        <v>161020959</v>
      </c>
      <c r="AL43" s="69">
        <v>184188611</v>
      </c>
      <c r="AM43" s="69">
        <v>196832811</v>
      </c>
      <c r="AN43" s="69">
        <v>245968186</v>
      </c>
      <c r="AO43" s="69">
        <v>211842382</v>
      </c>
      <c r="AP43" s="69">
        <v>144964153</v>
      </c>
      <c r="AQ43" s="69">
        <v>108633752</v>
      </c>
      <c r="AR43" s="69">
        <v>130908026</v>
      </c>
      <c r="AS43" s="69">
        <v>114516600</v>
      </c>
      <c r="AT43" s="69">
        <v>126303666</v>
      </c>
      <c r="AU43" s="69">
        <v>96361038</v>
      </c>
      <c r="AV43">
        <v>118479063</v>
      </c>
      <c r="AW43">
        <v>96066395</v>
      </c>
      <c r="AX43">
        <v>105302653</v>
      </c>
    </row>
    <row r="44" spans="1:50" ht="14.5" x14ac:dyDescent="0.35">
      <c r="A44" s="68" t="s">
        <v>87</v>
      </c>
      <c r="B44" s="68" t="str">
        <f>VLOOKUP(Tabelle_Abfrage_von_MS_Access_Database[[#This Row],[LAND]],Texte!$A$4:$C$261,Texte!$A$1+1,FALSE)</f>
        <v>Moldau</v>
      </c>
      <c r="C44" s="68" t="s">
        <v>522</v>
      </c>
      <c r="D44" s="68" t="s">
        <v>557</v>
      </c>
      <c r="E44" s="69">
        <v>0</v>
      </c>
      <c r="F44" s="69">
        <v>0</v>
      </c>
      <c r="G44" s="69">
        <v>0</v>
      </c>
      <c r="H44" s="69">
        <v>0</v>
      </c>
      <c r="I44" s="69">
        <v>0</v>
      </c>
      <c r="J44" s="69">
        <v>0</v>
      </c>
      <c r="K44" s="69">
        <v>0</v>
      </c>
      <c r="L44" s="69">
        <v>0</v>
      </c>
      <c r="M44" s="69">
        <v>0</v>
      </c>
      <c r="N44" s="69">
        <v>0</v>
      </c>
      <c r="O44" s="69">
        <v>0</v>
      </c>
      <c r="P44" s="69">
        <v>0</v>
      </c>
      <c r="Q44" s="69">
        <v>0</v>
      </c>
      <c r="R44" s="69">
        <v>0</v>
      </c>
      <c r="S44" s="69">
        <v>2932000</v>
      </c>
      <c r="T44" s="69">
        <v>1253000</v>
      </c>
      <c r="U44" s="69">
        <v>563000</v>
      </c>
      <c r="V44" s="69">
        <v>2348351</v>
      </c>
      <c r="W44" s="69">
        <v>4885291</v>
      </c>
      <c r="X44" s="69">
        <v>11337246</v>
      </c>
      <c r="Y44" s="69">
        <v>8165952</v>
      </c>
      <c r="Z44" s="69">
        <v>6326378</v>
      </c>
      <c r="AA44" s="69">
        <v>10394826</v>
      </c>
      <c r="AB44" s="69">
        <v>15216364</v>
      </c>
      <c r="AC44" s="69">
        <v>18243632</v>
      </c>
      <c r="AD44" s="69">
        <v>19171092</v>
      </c>
      <c r="AE44" s="69">
        <v>19361303</v>
      </c>
      <c r="AF44" s="69">
        <v>23108040</v>
      </c>
      <c r="AG44" s="69">
        <v>25291983</v>
      </c>
      <c r="AH44" s="69">
        <v>43969864</v>
      </c>
      <c r="AI44" s="69">
        <v>44475844</v>
      </c>
      <c r="AJ44" s="69">
        <v>29510214</v>
      </c>
      <c r="AK44" s="69">
        <v>32905308</v>
      </c>
      <c r="AL44" s="69">
        <v>33423630</v>
      </c>
      <c r="AM44" s="69">
        <v>66942388</v>
      </c>
      <c r="AN44" s="69">
        <v>64627091</v>
      </c>
      <c r="AO44" s="69">
        <v>74879391</v>
      </c>
      <c r="AP44" s="69">
        <v>74763718</v>
      </c>
      <c r="AQ44" s="69">
        <v>72605625</v>
      </c>
      <c r="AR44" s="69">
        <v>76653525</v>
      </c>
      <c r="AS44" s="69">
        <v>88197899</v>
      </c>
      <c r="AT44" s="69">
        <v>84005733</v>
      </c>
      <c r="AU44" s="69">
        <v>59026975</v>
      </c>
      <c r="AV44">
        <v>80729647</v>
      </c>
      <c r="AW44">
        <v>73917475</v>
      </c>
      <c r="AX44">
        <v>80667566</v>
      </c>
    </row>
    <row r="45" spans="1:50" ht="14.5" x14ac:dyDescent="0.35">
      <c r="A45" s="68" t="s">
        <v>89</v>
      </c>
      <c r="B45" s="68" t="str">
        <f>VLOOKUP(Tabelle_Abfrage_von_MS_Access_Database[[#This Row],[LAND]],Texte!$A$4:$C$261,Texte!$A$1+1,FALSE)</f>
        <v>Russland</v>
      </c>
      <c r="C45" s="68" t="s">
        <v>522</v>
      </c>
      <c r="D45" s="68" t="s">
        <v>557</v>
      </c>
      <c r="E45" s="69">
        <v>0</v>
      </c>
      <c r="F45" s="69">
        <v>0</v>
      </c>
      <c r="G45" s="69">
        <v>0</v>
      </c>
      <c r="H45" s="69">
        <v>0</v>
      </c>
      <c r="I45" s="69">
        <v>0</v>
      </c>
      <c r="J45" s="69">
        <v>0</v>
      </c>
      <c r="K45" s="69">
        <v>0</v>
      </c>
      <c r="L45" s="69">
        <v>0</v>
      </c>
      <c r="M45" s="69">
        <v>0</v>
      </c>
      <c r="N45" s="69">
        <v>0</v>
      </c>
      <c r="O45" s="69">
        <v>0</v>
      </c>
      <c r="P45" s="69">
        <v>0</v>
      </c>
      <c r="Q45" s="69">
        <v>0</v>
      </c>
      <c r="R45" s="69">
        <v>0</v>
      </c>
      <c r="S45" s="69">
        <v>499042000</v>
      </c>
      <c r="T45" s="69">
        <v>451210000</v>
      </c>
      <c r="U45" s="69">
        <v>543028000</v>
      </c>
      <c r="V45" s="69">
        <v>617300039</v>
      </c>
      <c r="W45" s="69">
        <v>577478603</v>
      </c>
      <c r="X45" s="69">
        <v>724884448</v>
      </c>
      <c r="Y45" s="69">
        <v>536335002</v>
      </c>
      <c r="Z45" s="69">
        <v>468125899</v>
      </c>
      <c r="AA45" s="69">
        <v>655371434</v>
      </c>
      <c r="AB45" s="69">
        <v>941182212</v>
      </c>
      <c r="AC45" s="69">
        <v>957521496</v>
      </c>
      <c r="AD45" s="69">
        <v>1134159857</v>
      </c>
      <c r="AE45" s="69">
        <v>1390250207</v>
      </c>
      <c r="AF45" s="69">
        <v>1701387282</v>
      </c>
      <c r="AG45" s="69">
        <v>2254175949</v>
      </c>
      <c r="AH45" s="69">
        <v>2584577067</v>
      </c>
      <c r="AI45" s="69">
        <v>2971966671</v>
      </c>
      <c r="AJ45" s="69">
        <v>2095626446</v>
      </c>
      <c r="AK45" s="69">
        <v>2547244960</v>
      </c>
      <c r="AL45" s="69">
        <v>2936394020</v>
      </c>
      <c r="AM45" s="69">
        <v>3184547546</v>
      </c>
      <c r="AN45" s="69">
        <v>3472146223</v>
      </c>
      <c r="AO45" s="69">
        <v>3193522834</v>
      </c>
      <c r="AP45" s="69">
        <v>1977748855</v>
      </c>
      <c r="AQ45" s="69">
        <v>1882490152</v>
      </c>
      <c r="AR45" s="69">
        <v>2184855409</v>
      </c>
      <c r="AS45" s="69">
        <v>2104566551</v>
      </c>
      <c r="AT45" s="69">
        <v>2362422458</v>
      </c>
      <c r="AU45" s="69">
        <v>2118430342</v>
      </c>
      <c r="AV45">
        <v>1997942661</v>
      </c>
      <c r="AW45">
        <v>1837778015</v>
      </c>
      <c r="AX45">
        <v>1296796985</v>
      </c>
    </row>
    <row r="46" spans="1:50" ht="14.5" x14ac:dyDescent="0.35">
      <c r="A46" s="68" t="s">
        <v>91</v>
      </c>
      <c r="B46" s="68" t="str">
        <f>VLOOKUP(Tabelle_Abfrage_von_MS_Access_Database[[#This Row],[LAND]],Texte!$A$4:$C$261,Texte!$A$1+1,FALSE)</f>
        <v>Georgien</v>
      </c>
      <c r="C46" s="68" t="s">
        <v>522</v>
      </c>
      <c r="D46" s="68" t="s">
        <v>557</v>
      </c>
      <c r="E46" s="69">
        <v>0</v>
      </c>
      <c r="F46" s="69">
        <v>0</v>
      </c>
      <c r="G46" s="69">
        <v>0</v>
      </c>
      <c r="H46" s="69">
        <v>0</v>
      </c>
      <c r="I46" s="69">
        <v>0</v>
      </c>
      <c r="J46" s="69">
        <v>0</v>
      </c>
      <c r="K46" s="69">
        <v>0</v>
      </c>
      <c r="L46" s="69">
        <v>0</v>
      </c>
      <c r="M46" s="69">
        <v>0</v>
      </c>
      <c r="N46" s="69">
        <v>0</v>
      </c>
      <c r="O46" s="69">
        <v>0</v>
      </c>
      <c r="P46" s="69">
        <v>0</v>
      </c>
      <c r="Q46" s="69">
        <v>0</v>
      </c>
      <c r="R46" s="69">
        <v>0</v>
      </c>
      <c r="S46" s="69">
        <v>993000</v>
      </c>
      <c r="T46" s="69">
        <v>999000</v>
      </c>
      <c r="U46" s="69">
        <v>1267000</v>
      </c>
      <c r="V46" s="69">
        <v>1807224</v>
      </c>
      <c r="W46" s="69">
        <v>1883540</v>
      </c>
      <c r="X46" s="69">
        <v>3446942</v>
      </c>
      <c r="Y46" s="69">
        <v>5116097</v>
      </c>
      <c r="Z46" s="69">
        <v>2692021</v>
      </c>
      <c r="AA46" s="69">
        <v>10171651</v>
      </c>
      <c r="AB46" s="69">
        <v>14195002</v>
      </c>
      <c r="AC46" s="69">
        <v>11474304</v>
      </c>
      <c r="AD46" s="69">
        <v>12974668</v>
      </c>
      <c r="AE46" s="69">
        <v>18688419</v>
      </c>
      <c r="AF46" s="69">
        <v>14013121</v>
      </c>
      <c r="AG46" s="69">
        <v>24889465</v>
      </c>
      <c r="AH46" s="69">
        <v>41200683</v>
      </c>
      <c r="AI46" s="69">
        <v>45376681</v>
      </c>
      <c r="AJ46" s="69">
        <v>35140191</v>
      </c>
      <c r="AK46" s="69">
        <v>41992245</v>
      </c>
      <c r="AL46" s="69">
        <v>54748825</v>
      </c>
      <c r="AM46" s="69">
        <v>69278606</v>
      </c>
      <c r="AN46" s="69">
        <v>61316737</v>
      </c>
      <c r="AO46" s="69">
        <v>53296771</v>
      </c>
      <c r="AP46" s="69">
        <v>68974743</v>
      </c>
      <c r="AQ46" s="69">
        <v>66034728</v>
      </c>
      <c r="AR46" s="69">
        <v>55282836</v>
      </c>
      <c r="AS46" s="69">
        <v>96474433</v>
      </c>
      <c r="AT46" s="69">
        <v>72704642</v>
      </c>
      <c r="AU46" s="69">
        <v>61693286</v>
      </c>
      <c r="AV46">
        <v>53091326</v>
      </c>
      <c r="AW46">
        <v>67158752</v>
      </c>
      <c r="AX46">
        <v>99925675</v>
      </c>
    </row>
    <row r="47" spans="1:50" ht="14.5" x14ac:dyDescent="0.35">
      <c r="A47" s="68" t="s">
        <v>93</v>
      </c>
      <c r="B47" s="68" t="str">
        <f>VLOOKUP(Tabelle_Abfrage_von_MS_Access_Database[[#This Row],[LAND]],Texte!$A$4:$C$261,Texte!$A$1+1,FALSE)</f>
        <v>Armenien</v>
      </c>
      <c r="C47" s="68" t="s">
        <v>522</v>
      </c>
      <c r="D47" s="68" t="s">
        <v>557</v>
      </c>
      <c r="E47" s="69">
        <v>0</v>
      </c>
      <c r="F47" s="69">
        <v>0</v>
      </c>
      <c r="G47" s="69">
        <v>0</v>
      </c>
      <c r="H47" s="69">
        <v>0</v>
      </c>
      <c r="I47" s="69">
        <v>0</v>
      </c>
      <c r="J47" s="69">
        <v>0</v>
      </c>
      <c r="K47" s="69">
        <v>0</v>
      </c>
      <c r="L47" s="69">
        <v>0</v>
      </c>
      <c r="M47" s="69">
        <v>0</v>
      </c>
      <c r="N47" s="69">
        <v>0</v>
      </c>
      <c r="O47" s="69">
        <v>0</v>
      </c>
      <c r="P47" s="69">
        <v>0</v>
      </c>
      <c r="Q47" s="69">
        <v>0</v>
      </c>
      <c r="R47" s="69">
        <v>0</v>
      </c>
      <c r="S47" s="69">
        <v>1561000</v>
      </c>
      <c r="T47" s="69">
        <v>45000</v>
      </c>
      <c r="U47" s="69">
        <v>167000</v>
      </c>
      <c r="V47" s="69">
        <v>535819</v>
      </c>
      <c r="W47" s="69">
        <v>1549746</v>
      </c>
      <c r="X47" s="69">
        <v>2418700</v>
      </c>
      <c r="Y47" s="69">
        <v>4060306</v>
      </c>
      <c r="Z47" s="69">
        <v>3405739</v>
      </c>
      <c r="AA47" s="69">
        <v>3079727</v>
      </c>
      <c r="AB47" s="69">
        <v>4955382</v>
      </c>
      <c r="AC47" s="69">
        <v>4074840</v>
      </c>
      <c r="AD47" s="69">
        <v>3888591</v>
      </c>
      <c r="AE47" s="69">
        <v>6970202</v>
      </c>
      <c r="AF47" s="69">
        <v>5783422</v>
      </c>
      <c r="AG47" s="69">
        <v>37531244</v>
      </c>
      <c r="AH47" s="69">
        <v>90023145</v>
      </c>
      <c r="AI47" s="69">
        <v>114824089</v>
      </c>
      <c r="AJ47" s="69">
        <v>52200871</v>
      </c>
      <c r="AK47" s="69">
        <v>48875355</v>
      </c>
      <c r="AL47" s="69">
        <v>39173616</v>
      </c>
      <c r="AM47" s="69">
        <v>51687413</v>
      </c>
      <c r="AN47" s="69">
        <v>110249872</v>
      </c>
      <c r="AO47" s="69">
        <v>69413801</v>
      </c>
      <c r="AP47" s="69">
        <v>19982572</v>
      </c>
      <c r="AQ47" s="69">
        <v>14699909</v>
      </c>
      <c r="AR47" s="69">
        <v>17570118</v>
      </c>
      <c r="AS47" s="69">
        <v>21203148</v>
      </c>
      <c r="AT47" s="69">
        <v>27340017</v>
      </c>
      <c r="AU47" s="69">
        <v>22414099</v>
      </c>
      <c r="AV47">
        <v>18639169</v>
      </c>
      <c r="AW47">
        <v>36179436</v>
      </c>
      <c r="AX47">
        <v>55610027</v>
      </c>
    </row>
    <row r="48" spans="1:50" ht="14.5" x14ac:dyDescent="0.35">
      <c r="A48" s="68" t="s">
        <v>95</v>
      </c>
      <c r="B48" s="68" t="str">
        <f>VLOOKUP(Tabelle_Abfrage_von_MS_Access_Database[[#This Row],[LAND]],Texte!$A$4:$C$261,Texte!$A$1+1,FALSE)</f>
        <v>Aserbaidschan</v>
      </c>
      <c r="C48" s="68" t="s">
        <v>522</v>
      </c>
      <c r="D48" s="68" t="s">
        <v>557</v>
      </c>
      <c r="E48" s="69">
        <v>0</v>
      </c>
      <c r="F48" s="69">
        <v>0</v>
      </c>
      <c r="G48" s="69">
        <v>0</v>
      </c>
      <c r="H48" s="69">
        <v>0</v>
      </c>
      <c r="I48" s="69">
        <v>0</v>
      </c>
      <c r="J48" s="69">
        <v>0</v>
      </c>
      <c r="K48" s="69">
        <v>0</v>
      </c>
      <c r="L48" s="69">
        <v>0</v>
      </c>
      <c r="M48" s="69">
        <v>0</v>
      </c>
      <c r="N48" s="69">
        <v>0</v>
      </c>
      <c r="O48" s="69">
        <v>0</v>
      </c>
      <c r="P48" s="69">
        <v>0</v>
      </c>
      <c r="Q48" s="69">
        <v>0</v>
      </c>
      <c r="R48" s="69">
        <v>0</v>
      </c>
      <c r="S48" s="69">
        <v>4485000</v>
      </c>
      <c r="T48" s="69">
        <v>4454000</v>
      </c>
      <c r="U48" s="69">
        <v>2918000</v>
      </c>
      <c r="V48" s="69">
        <v>1723069</v>
      </c>
      <c r="W48" s="69">
        <v>2092544</v>
      </c>
      <c r="X48" s="69">
        <v>4577082</v>
      </c>
      <c r="Y48" s="69">
        <v>4961373</v>
      </c>
      <c r="Z48" s="69">
        <v>2384536</v>
      </c>
      <c r="AA48" s="69">
        <v>10855655</v>
      </c>
      <c r="AB48" s="69">
        <v>28626436</v>
      </c>
      <c r="AC48" s="69">
        <v>14972230</v>
      </c>
      <c r="AD48" s="69">
        <v>9181732</v>
      </c>
      <c r="AE48" s="69">
        <v>24032573</v>
      </c>
      <c r="AF48" s="69">
        <v>24474915</v>
      </c>
      <c r="AG48" s="69">
        <v>26232775</v>
      </c>
      <c r="AH48" s="69">
        <v>41356361</v>
      </c>
      <c r="AI48" s="69">
        <v>57082150</v>
      </c>
      <c r="AJ48" s="69">
        <v>41984931</v>
      </c>
      <c r="AK48" s="69">
        <v>73108375</v>
      </c>
      <c r="AL48" s="69">
        <v>89868920</v>
      </c>
      <c r="AM48" s="69">
        <v>114919862</v>
      </c>
      <c r="AN48" s="69">
        <v>116447030</v>
      </c>
      <c r="AO48" s="69">
        <v>114368682</v>
      </c>
      <c r="AP48" s="69">
        <v>88139647</v>
      </c>
      <c r="AQ48" s="69">
        <v>58933402</v>
      </c>
      <c r="AR48" s="69">
        <v>59581557</v>
      </c>
      <c r="AS48" s="69">
        <v>54262982</v>
      </c>
      <c r="AT48" s="69">
        <v>76490163</v>
      </c>
      <c r="AU48" s="69">
        <v>45910581</v>
      </c>
      <c r="AV48">
        <v>50692635</v>
      </c>
      <c r="AW48">
        <v>50919081</v>
      </c>
      <c r="AX48">
        <v>62376288</v>
      </c>
    </row>
    <row r="49" spans="1:50" ht="14.5" x14ac:dyDescent="0.35">
      <c r="A49" s="68" t="s">
        <v>97</v>
      </c>
      <c r="B49" s="68" t="str">
        <f>VLOOKUP(Tabelle_Abfrage_von_MS_Access_Database[[#This Row],[LAND]],Texte!$A$4:$C$261,Texte!$A$1+1,FALSE)</f>
        <v>Kasachstan</v>
      </c>
      <c r="C49" s="68" t="s">
        <v>522</v>
      </c>
      <c r="D49" s="68" t="s">
        <v>557</v>
      </c>
      <c r="E49" s="69">
        <v>0</v>
      </c>
      <c r="F49" s="69">
        <v>0</v>
      </c>
      <c r="G49" s="69">
        <v>0</v>
      </c>
      <c r="H49" s="69">
        <v>0</v>
      </c>
      <c r="I49" s="69">
        <v>0</v>
      </c>
      <c r="J49" s="69">
        <v>0</v>
      </c>
      <c r="K49" s="69">
        <v>0</v>
      </c>
      <c r="L49" s="69">
        <v>0</v>
      </c>
      <c r="M49" s="69">
        <v>0</v>
      </c>
      <c r="N49" s="69">
        <v>0</v>
      </c>
      <c r="O49" s="69">
        <v>0</v>
      </c>
      <c r="P49" s="69">
        <v>0</v>
      </c>
      <c r="Q49" s="69">
        <v>0</v>
      </c>
      <c r="R49" s="69">
        <v>0</v>
      </c>
      <c r="S49" s="69">
        <v>2260000</v>
      </c>
      <c r="T49" s="69">
        <v>23322000</v>
      </c>
      <c r="U49" s="69">
        <v>31273000</v>
      </c>
      <c r="V49" s="69">
        <v>33331816</v>
      </c>
      <c r="W49" s="69">
        <v>12395504</v>
      </c>
      <c r="X49" s="69">
        <v>27800625</v>
      </c>
      <c r="Y49" s="69">
        <v>25792757</v>
      </c>
      <c r="Z49" s="69">
        <v>16067227</v>
      </c>
      <c r="AA49" s="69">
        <v>22813597</v>
      </c>
      <c r="AB49" s="69">
        <v>35166441</v>
      </c>
      <c r="AC49" s="69">
        <v>45964760</v>
      </c>
      <c r="AD49" s="69">
        <v>86539019</v>
      </c>
      <c r="AE49" s="69">
        <v>95213406</v>
      </c>
      <c r="AF49" s="69">
        <v>118251564</v>
      </c>
      <c r="AG49" s="69">
        <v>156996716</v>
      </c>
      <c r="AH49" s="69">
        <v>210796147</v>
      </c>
      <c r="AI49" s="69">
        <v>252198400</v>
      </c>
      <c r="AJ49" s="69">
        <v>198628078</v>
      </c>
      <c r="AK49" s="69">
        <v>192841079</v>
      </c>
      <c r="AL49" s="69">
        <v>195558691</v>
      </c>
      <c r="AM49" s="69">
        <v>253464455</v>
      </c>
      <c r="AN49" s="69">
        <v>292453475</v>
      </c>
      <c r="AO49" s="69">
        <v>257221443</v>
      </c>
      <c r="AP49" s="69">
        <v>220504975</v>
      </c>
      <c r="AQ49" s="69">
        <v>129645842</v>
      </c>
      <c r="AR49" s="69">
        <v>148933064</v>
      </c>
      <c r="AS49" s="69">
        <v>137324358</v>
      </c>
      <c r="AT49" s="69">
        <v>148095291</v>
      </c>
      <c r="AU49" s="69">
        <v>137106731</v>
      </c>
      <c r="AV49">
        <v>169744959</v>
      </c>
      <c r="AW49">
        <v>231928761</v>
      </c>
      <c r="AX49">
        <v>296828880</v>
      </c>
    </row>
    <row r="50" spans="1:50" ht="14.5" x14ac:dyDescent="0.35">
      <c r="A50" s="68" t="s">
        <v>99</v>
      </c>
      <c r="B50" s="68" t="str">
        <f>VLOOKUP(Tabelle_Abfrage_von_MS_Access_Database[[#This Row],[LAND]],Texte!$A$4:$C$261,Texte!$A$1+1,FALSE)</f>
        <v>Turkmenistan</v>
      </c>
      <c r="C50" s="68" t="s">
        <v>522</v>
      </c>
      <c r="D50" s="68" t="s">
        <v>557</v>
      </c>
      <c r="E50" s="69">
        <v>0</v>
      </c>
      <c r="F50" s="69">
        <v>0</v>
      </c>
      <c r="G50" s="69">
        <v>0</v>
      </c>
      <c r="H50" s="69">
        <v>0</v>
      </c>
      <c r="I50" s="69">
        <v>0</v>
      </c>
      <c r="J50" s="69">
        <v>0</v>
      </c>
      <c r="K50" s="69">
        <v>0</v>
      </c>
      <c r="L50" s="69">
        <v>0</v>
      </c>
      <c r="M50" s="69">
        <v>0</v>
      </c>
      <c r="N50" s="69">
        <v>0</v>
      </c>
      <c r="O50" s="69">
        <v>0</v>
      </c>
      <c r="P50" s="69">
        <v>0</v>
      </c>
      <c r="Q50" s="69">
        <v>0</v>
      </c>
      <c r="R50" s="69">
        <v>0</v>
      </c>
      <c r="S50" s="69">
        <v>224000</v>
      </c>
      <c r="T50" s="69">
        <v>1632000</v>
      </c>
      <c r="U50" s="69">
        <v>10969000</v>
      </c>
      <c r="V50" s="69">
        <v>1532230</v>
      </c>
      <c r="W50" s="69">
        <v>1353528</v>
      </c>
      <c r="X50" s="69">
        <v>1175629</v>
      </c>
      <c r="Y50" s="69">
        <v>6527977</v>
      </c>
      <c r="Z50" s="69">
        <v>5089278</v>
      </c>
      <c r="AA50" s="69">
        <v>5760777</v>
      </c>
      <c r="AB50" s="69">
        <v>9757985</v>
      </c>
      <c r="AC50" s="69">
        <v>6807793</v>
      </c>
      <c r="AD50" s="69">
        <v>25948730</v>
      </c>
      <c r="AE50" s="69">
        <v>13054833</v>
      </c>
      <c r="AF50" s="69">
        <v>32698025</v>
      </c>
      <c r="AG50" s="69">
        <v>6355836</v>
      </c>
      <c r="AH50" s="69">
        <v>32954001</v>
      </c>
      <c r="AI50" s="69">
        <v>28288652</v>
      </c>
      <c r="AJ50" s="69">
        <v>31973422</v>
      </c>
      <c r="AK50" s="69">
        <v>21277983</v>
      </c>
      <c r="AL50" s="69">
        <v>48453875</v>
      </c>
      <c r="AM50" s="69">
        <v>43270705</v>
      </c>
      <c r="AN50" s="69">
        <v>24770693</v>
      </c>
      <c r="AO50" s="69">
        <v>128715281</v>
      </c>
      <c r="AP50" s="69">
        <v>50954194</v>
      </c>
      <c r="AQ50" s="69">
        <v>34510229</v>
      </c>
      <c r="AR50" s="69">
        <v>29558608</v>
      </c>
      <c r="AS50" s="69">
        <v>20948994</v>
      </c>
      <c r="AT50" s="69">
        <v>20741582</v>
      </c>
      <c r="AU50" s="69">
        <v>9817289</v>
      </c>
      <c r="AV50">
        <v>24206158</v>
      </c>
      <c r="AW50">
        <v>25666901</v>
      </c>
      <c r="AX50">
        <v>24268676</v>
      </c>
    </row>
    <row r="51" spans="1:50" ht="14.5" x14ac:dyDescent="0.35">
      <c r="A51" s="68" t="s">
        <v>101</v>
      </c>
      <c r="B51" s="68" t="str">
        <f>VLOOKUP(Tabelle_Abfrage_von_MS_Access_Database[[#This Row],[LAND]],Texte!$A$4:$C$261,Texte!$A$1+1,FALSE)</f>
        <v>Usbekistan</v>
      </c>
      <c r="C51" s="68" t="s">
        <v>522</v>
      </c>
      <c r="D51" s="68" t="s">
        <v>557</v>
      </c>
      <c r="E51" s="69">
        <v>0</v>
      </c>
      <c r="F51" s="69">
        <v>0</v>
      </c>
      <c r="G51" s="69">
        <v>0</v>
      </c>
      <c r="H51" s="69">
        <v>0</v>
      </c>
      <c r="I51" s="69">
        <v>0</v>
      </c>
      <c r="J51" s="69">
        <v>0</v>
      </c>
      <c r="K51" s="69">
        <v>0</v>
      </c>
      <c r="L51" s="69">
        <v>0</v>
      </c>
      <c r="M51" s="69">
        <v>0</v>
      </c>
      <c r="N51" s="69">
        <v>0</v>
      </c>
      <c r="O51" s="69">
        <v>0</v>
      </c>
      <c r="P51" s="69">
        <v>0</v>
      </c>
      <c r="Q51" s="69">
        <v>0</v>
      </c>
      <c r="R51" s="69">
        <v>0</v>
      </c>
      <c r="S51" s="69">
        <v>1931000</v>
      </c>
      <c r="T51" s="69">
        <v>7694000</v>
      </c>
      <c r="U51" s="69">
        <v>5484000</v>
      </c>
      <c r="V51" s="69">
        <v>5868979</v>
      </c>
      <c r="W51" s="69">
        <v>12538317</v>
      </c>
      <c r="X51" s="69">
        <v>18810416</v>
      </c>
      <c r="Y51" s="69">
        <v>11481870</v>
      </c>
      <c r="Z51" s="69">
        <v>17333705</v>
      </c>
      <c r="AA51" s="69">
        <v>37027614</v>
      </c>
      <c r="AB51" s="69">
        <v>12849343</v>
      </c>
      <c r="AC51" s="69">
        <v>9475338</v>
      </c>
      <c r="AD51" s="69">
        <v>14375230</v>
      </c>
      <c r="AE51" s="69">
        <v>20892401</v>
      </c>
      <c r="AF51" s="69">
        <v>21662259</v>
      </c>
      <c r="AG51" s="69">
        <v>32100709</v>
      </c>
      <c r="AH51" s="69">
        <v>49303762</v>
      </c>
      <c r="AI51" s="69">
        <v>61920647</v>
      </c>
      <c r="AJ51" s="69">
        <v>59965036</v>
      </c>
      <c r="AK51" s="69">
        <v>63383211</v>
      </c>
      <c r="AL51" s="69">
        <v>49129672</v>
      </c>
      <c r="AM51" s="69">
        <v>82756047</v>
      </c>
      <c r="AN51" s="69">
        <v>62023630</v>
      </c>
      <c r="AO51" s="69">
        <v>76551251</v>
      </c>
      <c r="AP51" s="69">
        <v>80944948</v>
      </c>
      <c r="AQ51" s="69">
        <v>38989332</v>
      </c>
      <c r="AR51" s="69">
        <v>42273985</v>
      </c>
      <c r="AS51" s="69">
        <v>83549880</v>
      </c>
      <c r="AT51" s="69">
        <v>109882069</v>
      </c>
      <c r="AU51" s="69">
        <v>84683864</v>
      </c>
      <c r="AV51">
        <v>81079224</v>
      </c>
      <c r="AW51">
        <v>108888544</v>
      </c>
      <c r="AX51">
        <v>131841799</v>
      </c>
    </row>
    <row r="52" spans="1:50" ht="14.5" x14ac:dyDescent="0.35">
      <c r="A52" s="68" t="s">
        <v>103</v>
      </c>
      <c r="B52" s="68" t="str">
        <f>VLOOKUP(Tabelle_Abfrage_von_MS_Access_Database[[#This Row],[LAND]],Texte!$A$4:$C$261,Texte!$A$1+1,FALSE)</f>
        <v>Tadschikistan</v>
      </c>
      <c r="C52" s="68" t="s">
        <v>522</v>
      </c>
      <c r="D52" s="68" t="s">
        <v>557</v>
      </c>
      <c r="E52" s="69">
        <v>0</v>
      </c>
      <c r="F52" s="69">
        <v>0</v>
      </c>
      <c r="G52" s="69">
        <v>0</v>
      </c>
      <c r="H52" s="69">
        <v>0</v>
      </c>
      <c r="I52" s="69">
        <v>0</v>
      </c>
      <c r="J52" s="69">
        <v>0</v>
      </c>
      <c r="K52" s="69">
        <v>0</v>
      </c>
      <c r="L52" s="69">
        <v>0</v>
      </c>
      <c r="M52" s="69">
        <v>0</v>
      </c>
      <c r="N52" s="69">
        <v>0</v>
      </c>
      <c r="O52" s="69">
        <v>0</v>
      </c>
      <c r="P52" s="69">
        <v>0</v>
      </c>
      <c r="Q52" s="69">
        <v>0</v>
      </c>
      <c r="R52" s="69">
        <v>0</v>
      </c>
      <c r="S52" s="69">
        <v>2168000</v>
      </c>
      <c r="T52" s="69">
        <v>4173000</v>
      </c>
      <c r="U52" s="69">
        <v>275000</v>
      </c>
      <c r="V52" s="69">
        <v>111118</v>
      </c>
      <c r="W52" s="69">
        <v>266563</v>
      </c>
      <c r="X52" s="69">
        <v>1821400</v>
      </c>
      <c r="Y52" s="69">
        <v>1373299</v>
      </c>
      <c r="Z52" s="69">
        <v>185823</v>
      </c>
      <c r="AA52" s="69">
        <v>418744</v>
      </c>
      <c r="AB52" s="69">
        <v>414226</v>
      </c>
      <c r="AC52" s="69">
        <v>207359</v>
      </c>
      <c r="AD52" s="69">
        <v>1212212</v>
      </c>
      <c r="AE52" s="69">
        <v>1361198</v>
      </c>
      <c r="AF52" s="69">
        <v>533923</v>
      </c>
      <c r="AG52" s="69">
        <v>1470880</v>
      </c>
      <c r="AH52" s="69">
        <v>2364774</v>
      </c>
      <c r="AI52" s="69">
        <v>5515573</v>
      </c>
      <c r="AJ52" s="69">
        <v>2371818</v>
      </c>
      <c r="AK52" s="69">
        <v>2853638</v>
      </c>
      <c r="AL52" s="69">
        <v>4353430</v>
      </c>
      <c r="AM52" s="69">
        <v>6904516</v>
      </c>
      <c r="AN52" s="69">
        <v>4938252</v>
      </c>
      <c r="AO52" s="69">
        <v>7738981</v>
      </c>
      <c r="AP52" s="69">
        <v>6697537</v>
      </c>
      <c r="AQ52" s="69">
        <v>4421861</v>
      </c>
      <c r="AR52" s="69">
        <v>9335421</v>
      </c>
      <c r="AS52" s="69">
        <v>4407109</v>
      </c>
      <c r="AT52" s="69">
        <v>5360530</v>
      </c>
      <c r="AU52" s="69">
        <v>17703303</v>
      </c>
      <c r="AV52">
        <v>10828049</v>
      </c>
      <c r="AW52">
        <v>13173976</v>
      </c>
      <c r="AX52">
        <v>20910692</v>
      </c>
    </row>
    <row r="53" spans="1:50" ht="14.5" x14ac:dyDescent="0.35">
      <c r="A53" s="68" t="s">
        <v>105</v>
      </c>
      <c r="B53" s="68" t="str">
        <f>VLOOKUP(Tabelle_Abfrage_von_MS_Access_Database[[#This Row],[LAND]],Texte!$A$4:$C$261,Texte!$A$1+1,FALSE)</f>
        <v>Kirgisistan</v>
      </c>
      <c r="C53" s="68" t="s">
        <v>522</v>
      </c>
      <c r="D53" s="68" t="s">
        <v>557</v>
      </c>
      <c r="E53" s="69">
        <v>0</v>
      </c>
      <c r="F53" s="69">
        <v>0</v>
      </c>
      <c r="G53" s="69">
        <v>0</v>
      </c>
      <c r="H53" s="69">
        <v>0</v>
      </c>
      <c r="I53" s="69">
        <v>0</v>
      </c>
      <c r="J53" s="69">
        <v>0</v>
      </c>
      <c r="K53" s="69">
        <v>0</v>
      </c>
      <c r="L53" s="69">
        <v>0</v>
      </c>
      <c r="M53" s="69">
        <v>0</v>
      </c>
      <c r="N53" s="69">
        <v>0</v>
      </c>
      <c r="O53" s="69">
        <v>0</v>
      </c>
      <c r="P53" s="69">
        <v>0</v>
      </c>
      <c r="Q53" s="69">
        <v>0</v>
      </c>
      <c r="R53" s="69">
        <v>0</v>
      </c>
      <c r="S53" s="69">
        <v>1000</v>
      </c>
      <c r="T53" s="69">
        <v>24000</v>
      </c>
      <c r="U53" s="69">
        <v>295000</v>
      </c>
      <c r="V53" s="69">
        <v>167147</v>
      </c>
      <c r="W53" s="69">
        <v>368522</v>
      </c>
      <c r="X53" s="69">
        <v>1862752</v>
      </c>
      <c r="Y53" s="69">
        <v>1454473</v>
      </c>
      <c r="Z53" s="69">
        <v>1264433</v>
      </c>
      <c r="AA53" s="69">
        <v>1238850</v>
      </c>
      <c r="AB53" s="69">
        <v>1092172</v>
      </c>
      <c r="AC53" s="69">
        <v>1147119</v>
      </c>
      <c r="AD53" s="69">
        <v>3168994</v>
      </c>
      <c r="AE53" s="69">
        <v>1867678</v>
      </c>
      <c r="AF53" s="69">
        <v>1268934</v>
      </c>
      <c r="AG53" s="69">
        <v>2365098</v>
      </c>
      <c r="AH53" s="69">
        <v>3065403</v>
      </c>
      <c r="AI53" s="69">
        <v>4220034</v>
      </c>
      <c r="AJ53" s="69">
        <v>5783409</v>
      </c>
      <c r="AK53" s="69">
        <v>8150140</v>
      </c>
      <c r="AL53" s="69">
        <v>9677743</v>
      </c>
      <c r="AM53" s="69">
        <v>12379791</v>
      </c>
      <c r="AN53" s="69">
        <v>12672410</v>
      </c>
      <c r="AO53" s="69">
        <v>12305360</v>
      </c>
      <c r="AP53" s="69">
        <v>10518413</v>
      </c>
      <c r="AQ53" s="69">
        <v>9947070</v>
      </c>
      <c r="AR53" s="69">
        <v>9057260</v>
      </c>
      <c r="AS53" s="69">
        <v>8876054</v>
      </c>
      <c r="AT53" s="69">
        <v>9175049</v>
      </c>
      <c r="AU53" s="69">
        <v>6693188</v>
      </c>
      <c r="AV53">
        <v>6364964</v>
      </c>
      <c r="AW53">
        <v>16636291</v>
      </c>
      <c r="AX53">
        <v>28678340</v>
      </c>
    </row>
    <row r="54" spans="1:50" ht="14.5" x14ac:dyDescent="0.35">
      <c r="A54" s="68" t="s">
        <v>107</v>
      </c>
      <c r="B54" s="68" t="str">
        <f>VLOOKUP(Tabelle_Abfrage_von_MS_Access_Database[[#This Row],[LAND]],Texte!$A$4:$C$261,Texte!$A$1+1,FALSE)</f>
        <v>Slowenien</v>
      </c>
      <c r="C54" s="68" t="s">
        <v>522</v>
      </c>
      <c r="D54" s="68" t="s">
        <v>557</v>
      </c>
      <c r="E54" s="69">
        <v>0</v>
      </c>
      <c r="F54" s="69">
        <v>0</v>
      </c>
      <c r="G54" s="69">
        <v>0</v>
      </c>
      <c r="H54" s="69">
        <v>0</v>
      </c>
      <c r="I54" s="69">
        <v>0</v>
      </c>
      <c r="J54" s="69">
        <v>0</v>
      </c>
      <c r="K54" s="69">
        <v>0</v>
      </c>
      <c r="L54" s="69">
        <v>0</v>
      </c>
      <c r="M54" s="69">
        <v>0</v>
      </c>
      <c r="N54" s="69">
        <v>0</v>
      </c>
      <c r="O54" s="69">
        <v>0</v>
      </c>
      <c r="P54" s="69">
        <v>0</v>
      </c>
      <c r="Q54" s="69">
        <v>0</v>
      </c>
      <c r="R54" s="69">
        <v>0</v>
      </c>
      <c r="S54" s="69">
        <v>409988000</v>
      </c>
      <c r="T54" s="69">
        <v>494825000</v>
      </c>
      <c r="U54" s="69">
        <v>581358000</v>
      </c>
      <c r="V54" s="69">
        <v>713308303</v>
      </c>
      <c r="W54" s="69">
        <v>716867105</v>
      </c>
      <c r="X54" s="69">
        <v>937829951</v>
      </c>
      <c r="Y54" s="69">
        <v>941988640</v>
      </c>
      <c r="Z54" s="69">
        <v>1051010675</v>
      </c>
      <c r="AA54" s="69">
        <v>1228980837</v>
      </c>
      <c r="AB54" s="69">
        <v>1282773148</v>
      </c>
      <c r="AC54" s="69">
        <v>1398052423</v>
      </c>
      <c r="AD54" s="69">
        <v>1548051292</v>
      </c>
      <c r="AE54" s="69">
        <v>1986417615</v>
      </c>
      <c r="AF54" s="69">
        <v>1711363450</v>
      </c>
      <c r="AG54" s="69">
        <v>1873260922</v>
      </c>
      <c r="AH54" s="69">
        <v>2377557553</v>
      </c>
      <c r="AI54" s="69">
        <v>2551347898</v>
      </c>
      <c r="AJ54" s="69">
        <v>2048583089</v>
      </c>
      <c r="AK54" s="69">
        <v>2220549021</v>
      </c>
      <c r="AL54" s="69">
        <v>2292390676</v>
      </c>
      <c r="AM54" s="69">
        <v>2295321150</v>
      </c>
      <c r="AN54" s="69">
        <v>2505400948</v>
      </c>
      <c r="AO54" s="69">
        <v>2533893238</v>
      </c>
      <c r="AP54" s="69">
        <v>2690243627</v>
      </c>
      <c r="AQ54" s="69">
        <v>2673670795</v>
      </c>
      <c r="AR54" s="69">
        <v>2942997631</v>
      </c>
      <c r="AS54" s="69">
        <v>3101634727</v>
      </c>
      <c r="AT54" s="69">
        <v>3176535039</v>
      </c>
      <c r="AU54" s="69">
        <v>2831905367</v>
      </c>
      <c r="AV54">
        <v>3484936241</v>
      </c>
      <c r="AW54">
        <v>4917708538</v>
      </c>
      <c r="AX54">
        <v>4202935740</v>
      </c>
    </row>
    <row r="55" spans="1:50" ht="14.5" x14ac:dyDescent="0.35">
      <c r="A55" s="68" t="s">
        <v>109</v>
      </c>
      <c r="B55" s="68" t="str">
        <f>VLOOKUP(Tabelle_Abfrage_von_MS_Access_Database[[#This Row],[LAND]],Texte!$A$4:$C$261,Texte!$A$1+1,FALSE)</f>
        <v>Kroatien</v>
      </c>
      <c r="C55" s="68" t="s">
        <v>522</v>
      </c>
      <c r="D55" s="68" t="s">
        <v>557</v>
      </c>
      <c r="E55" s="69">
        <v>0</v>
      </c>
      <c r="F55" s="69">
        <v>0</v>
      </c>
      <c r="G55" s="69">
        <v>0</v>
      </c>
      <c r="H55" s="69">
        <v>0</v>
      </c>
      <c r="I55" s="69">
        <v>0</v>
      </c>
      <c r="J55" s="69">
        <v>0</v>
      </c>
      <c r="K55" s="69">
        <v>0</v>
      </c>
      <c r="L55" s="69">
        <v>0</v>
      </c>
      <c r="M55" s="69">
        <v>0</v>
      </c>
      <c r="N55" s="69">
        <v>0</v>
      </c>
      <c r="O55" s="69">
        <v>0</v>
      </c>
      <c r="P55" s="69">
        <v>0</v>
      </c>
      <c r="Q55" s="69">
        <v>0</v>
      </c>
      <c r="R55" s="69">
        <v>0</v>
      </c>
      <c r="S55" s="69">
        <v>139275000</v>
      </c>
      <c r="T55" s="69">
        <v>205961000</v>
      </c>
      <c r="U55" s="69">
        <v>304568000</v>
      </c>
      <c r="V55" s="69">
        <v>382651773</v>
      </c>
      <c r="W55" s="69">
        <v>444549088</v>
      </c>
      <c r="X55" s="69">
        <v>742974311</v>
      </c>
      <c r="Y55" s="69">
        <v>611002797</v>
      </c>
      <c r="Z55" s="69">
        <v>578275593</v>
      </c>
      <c r="AA55" s="69">
        <v>666826267</v>
      </c>
      <c r="AB55" s="69">
        <v>886605189</v>
      </c>
      <c r="AC55" s="69">
        <v>992665572</v>
      </c>
      <c r="AD55" s="69">
        <v>1032486668</v>
      </c>
      <c r="AE55" s="69">
        <v>1219310793</v>
      </c>
      <c r="AF55" s="69">
        <v>1223520473</v>
      </c>
      <c r="AG55" s="69">
        <v>1320206741</v>
      </c>
      <c r="AH55" s="69">
        <v>1479245165</v>
      </c>
      <c r="AI55" s="69">
        <v>1526501802</v>
      </c>
      <c r="AJ55" s="69">
        <v>1128196028</v>
      </c>
      <c r="AK55" s="69">
        <v>1129671733</v>
      </c>
      <c r="AL55" s="69">
        <v>1133135022</v>
      </c>
      <c r="AM55" s="69">
        <v>1109469004</v>
      </c>
      <c r="AN55" s="69">
        <v>1112652963</v>
      </c>
      <c r="AO55" s="69">
        <v>1177336590</v>
      </c>
      <c r="AP55" s="69">
        <v>1375898215</v>
      </c>
      <c r="AQ55" s="69">
        <v>1283589015</v>
      </c>
      <c r="AR55" s="69">
        <v>1297383313</v>
      </c>
      <c r="AS55" s="69">
        <v>1320008188</v>
      </c>
      <c r="AT55" s="69">
        <v>1328565381</v>
      </c>
      <c r="AU55" s="69">
        <v>1234569954</v>
      </c>
      <c r="AV55">
        <v>1510031977</v>
      </c>
      <c r="AW55">
        <v>1922091856</v>
      </c>
      <c r="AX55">
        <v>1945622117</v>
      </c>
    </row>
    <row r="56" spans="1:50" ht="14.5" x14ac:dyDescent="0.35">
      <c r="A56" s="68" t="s">
        <v>111</v>
      </c>
      <c r="B56" s="68" t="str">
        <f>VLOOKUP(Tabelle_Abfrage_von_MS_Access_Database[[#This Row],[LAND]],Texte!$A$4:$C$261,Texte!$A$1+1,FALSE)</f>
        <v>Bosnien-Herzegowina</v>
      </c>
      <c r="C56" s="68" t="s">
        <v>522</v>
      </c>
      <c r="D56" s="68" t="s">
        <v>557</v>
      </c>
      <c r="E56" s="69">
        <v>0</v>
      </c>
      <c r="F56" s="69">
        <v>0</v>
      </c>
      <c r="G56" s="69">
        <v>0</v>
      </c>
      <c r="H56" s="69">
        <v>0</v>
      </c>
      <c r="I56" s="69">
        <v>0</v>
      </c>
      <c r="J56" s="69">
        <v>0</v>
      </c>
      <c r="K56" s="69">
        <v>0</v>
      </c>
      <c r="L56" s="69">
        <v>0</v>
      </c>
      <c r="M56" s="69">
        <v>0</v>
      </c>
      <c r="N56" s="69">
        <v>0</v>
      </c>
      <c r="O56" s="69">
        <v>0</v>
      </c>
      <c r="P56" s="69">
        <v>0</v>
      </c>
      <c r="Q56" s="69">
        <v>0</v>
      </c>
      <c r="R56" s="69">
        <v>0</v>
      </c>
      <c r="S56" s="69">
        <v>7870000</v>
      </c>
      <c r="T56" s="69">
        <v>5830000</v>
      </c>
      <c r="U56" s="69">
        <v>8803000</v>
      </c>
      <c r="V56" s="69">
        <v>13095856</v>
      </c>
      <c r="W56" s="69">
        <v>40950184</v>
      </c>
      <c r="X56" s="69">
        <v>74918886</v>
      </c>
      <c r="Y56" s="69">
        <v>101330638</v>
      </c>
      <c r="Z56" s="69">
        <v>130988000</v>
      </c>
      <c r="AA56" s="69">
        <v>174263786</v>
      </c>
      <c r="AB56" s="69">
        <v>178961826</v>
      </c>
      <c r="AC56" s="69">
        <v>232018349</v>
      </c>
      <c r="AD56" s="69">
        <v>210958836</v>
      </c>
      <c r="AE56" s="69">
        <v>227321893</v>
      </c>
      <c r="AF56" s="69">
        <v>285069657</v>
      </c>
      <c r="AG56" s="69">
        <v>248726157</v>
      </c>
      <c r="AH56" s="69">
        <v>330773247</v>
      </c>
      <c r="AI56" s="69">
        <v>360817405</v>
      </c>
      <c r="AJ56" s="69">
        <v>278255928</v>
      </c>
      <c r="AK56" s="69">
        <v>293236511</v>
      </c>
      <c r="AL56" s="69">
        <v>320812461</v>
      </c>
      <c r="AM56" s="69">
        <v>344021561</v>
      </c>
      <c r="AN56" s="69">
        <v>351151186</v>
      </c>
      <c r="AO56" s="69">
        <v>345923814</v>
      </c>
      <c r="AP56" s="69">
        <v>335959375</v>
      </c>
      <c r="AQ56" s="69">
        <v>353886447</v>
      </c>
      <c r="AR56" s="69">
        <v>377631850</v>
      </c>
      <c r="AS56" s="69">
        <v>408365860</v>
      </c>
      <c r="AT56" s="69">
        <v>445303678</v>
      </c>
      <c r="AU56" s="69">
        <v>425647114</v>
      </c>
      <c r="AV56">
        <v>501894444</v>
      </c>
      <c r="AW56">
        <v>610342153</v>
      </c>
      <c r="AX56">
        <v>626846742</v>
      </c>
    </row>
    <row r="57" spans="1:50" ht="14.5" x14ac:dyDescent="0.35">
      <c r="A57" s="68" t="s">
        <v>113</v>
      </c>
      <c r="B57" s="68" t="str">
        <f>VLOOKUP(Tabelle_Abfrage_von_MS_Access_Database[[#This Row],[LAND]],Texte!$A$4:$C$261,Texte!$A$1+1,FALSE)</f>
        <v>Serbien und Montenegro</v>
      </c>
      <c r="C57" s="68" t="s">
        <v>522</v>
      </c>
      <c r="D57" s="68" t="s">
        <v>535</v>
      </c>
      <c r="E57" s="70"/>
      <c r="F57" s="70"/>
      <c r="G57" s="70"/>
      <c r="H57" s="70"/>
      <c r="I57" s="70"/>
      <c r="J57" s="70"/>
      <c r="K57" s="70"/>
      <c r="L57" s="70"/>
      <c r="M57" s="70"/>
      <c r="N57" s="70"/>
      <c r="O57" s="70"/>
      <c r="P57" s="70"/>
      <c r="Q57" s="70"/>
      <c r="R57" s="70"/>
      <c r="S57" s="69">
        <v>100422000</v>
      </c>
      <c r="T57" s="69">
        <v>13028000</v>
      </c>
      <c r="U57" s="69">
        <v>20831000</v>
      </c>
      <c r="V57" s="69">
        <v>21154985</v>
      </c>
      <c r="W57" s="69">
        <v>108953124</v>
      </c>
      <c r="X57" s="69">
        <v>192941621</v>
      </c>
      <c r="Y57" s="69">
        <v>186207815</v>
      </c>
      <c r="Z57" s="69">
        <v>134865498</v>
      </c>
      <c r="AA57" s="69">
        <v>185746950</v>
      </c>
      <c r="AB57" s="69">
        <v>254338233</v>
      </c>
      <c r="AC57" s="69">
        <v>338171747</v>
      </c>
      <c r="AD57" s="69">
        <v>382959769</v>
      </c>
      <c r="AE57" s="69">
        <v>438439293</v>
      </c>
      <c r="AF57" s="69">
        <v>143141322</v>
      </c>
      <c r="AG57" s="70"/>
      <c r="AH57" s="70"/>
      <c r="AI57" s="70"/>
      <c r="AJ57" s="70"/>
      <c r="AK57" s="70"/>
      <c r="AL57" s="70"/>
      <c r="AM57" s="70"/>
      <c r="AN57" s="70"/>
      <c r="AO57" s="70"/>
      <c r="AP57" s="70"/>
      <c r="AQ57" s="70"/>
      <c r="AR57" s="70"/>
      <c r="AS57" s="70"/>
      <c r="AT57" s="70"/>
      <c r="AU57" s="70"/>
    </row>
    <row r="58" spans="1:50" ht="14.5" x14ac:dyDescent="0.35">
      <c r="A58" s="68" t="s">
        <v>115</v>
      </c>
      <c r="B58" s="68" t="str">
        <f>VLOOKUP(Tabelle_Abfrage_von_MS_Access_Database[[#This Row],[LAND]],Texte!$A$4:$C$261,Texte!$A$1+1,FALSE)</f>
        <v>Kosovo</v>
      </c>
      <c r="C58" s="68" t="s">
        <v>535</v>
      </c>
      <c r="D58" s="68" t="s">
        <v>557</v>
      </c>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69">
        <v>11505451</v>
      </c>
      <c r="AG58" s="69">
        <v>25727688</v>
      </c>
      <c r="AH58" s="69">
        <v>31383219</v>
      </c>
      <c r="AI58" s="69">
        <v>36082504</v>
      </c>
      <c r="AJ58" s="69">
        <v>41409836</v>
      </c>
      <c r="AK58" s="69">
        <v>27288740</v>
      </c>
      <c r="AL58" s="69">
        <v>37586352</v>
      </c>
      <c r="AM58" s="69">
        <v>30846183</v>
      </c>
      <c r="AN58" s="69">
        <v>29967452</v>
      </c>
      <c r="AO58" s="69">
        <v>28946797</v>
      </c>
      <c r="AP58" s="69">
        <v>38506046</v>
      </c>
      <c r="AQ58" s="69">
        <v>45901208</v>
      </c>
      <c r="AR58" s="69">
        <v>48805019</v>
      </c>
      <c r="AS58" s="69">
        <v>51913652</v>
      </c>
      <c r="AT58" s="69">
        <v>66047804</v>
      </c>
      <c r="AU58" s="69">
        <v>60038591</v>
      </c>
      <c r="AV58">
        <v>79716335</v>
      </c>
      <c r="AW58">
        <v>76119234</v>
      </c>
      <c r="AX58">
        <v>102156909</v>
      </c>
    </row>
    <row r="59" spans="1:50" ht="14.5" x14ac:dyDescent="0.35">
      <c r="A59" s="68" t="s">
        <v>117</v>
      </c>
      <c r="B59" s="68" t="str">
        <f>VLOOKUP(Tabelle_Abfrage_von_MS_Access_Database[[#This Row],[LAND]],Texte!$A$4:$C$261,Texte!$A$1+1,FALSE)</f>
        <v>Eh.jugosl.Rep.Mazedonien</v>
      </c>
      <c r="C59" s="68" t="s">
        <v>522</v>
      </c>
      <c r="D59" s="68" t="s">
        <v>557</v>
      </c>
      <c r="E59" s="69">
        <v>0</v>
      </c>
      <c r="F59" s="69">
        <v>0</v>
      </c>
      <c r="G59" s="69">
        <v>0</v>
      </c>
      <c r="H59" s="69">
        <v>0</v>
      </c>
      <c r="I59" s="69">
        <v>0</v>
      </c>
      <c r="J59" s="69">
        <v>0</v>
      </c>
      <c r="K59" s="69">
        <v>0</v>
      </c>
      <c r="L59" s="69">
        <v>0</v>
      </c>
      <c r="M59" s="69">
        <v>0</v>
      </c>
      <c r="N59" s="69">
        <v>0</v>
      </c>
      <c r="O59" s="69">
        <v>0</v>
      </c>
      <c r="P59" s="69">
        <v>0</v>
      </c>
      <c r="Q59" s="69">
        <v>0</v>
      </c>
      <c r="R59" s="69">
        <v>0</v>
      </c>
      <c r="S59" s="69">
        <v>19634000</v>
      </c>
      <c r="T59" s="69">
        <v>36276000</v>
      </c>
      <c r="U59" s="69">
        <v>57726000</v>
      </c>
      <c r="V59" s="69">
        <v>62384092</v>
      </c>
      <c r="W59" s="69">
        <v>38959967</v>
      </c>
      <c r="X59" s="69">
        <v>52569557</v>
      </c>
      <c r="Y59" s="69">
        <v>59826752</v>
      </c>
      <c r="Z59" s="69">
        <v>61682000</v>
      </c>
      <c r="AA59" s="69">
        <v>53735054</v>
      </c>
      <c r="AB59" s="69">
        <v>56488455</v>
      </c>
      <c r="AC59" s="69">
        <v>68409422</v>
      </c>
      <c r="AD59" s="69">
        <v>57174865</v>
      </c>
      <c r="AE59" s="69">
        <v>58509312</v>
      </c>
      <c r="AF59" s="69">
        <v>65289892</v>
      </c>
      <c r="AG59" s="69">
        <v>67202146</v>
      </c>
      <c r="AH59" s="69">
        <v>81215973</v>
      </c>
      <c r="AI59" s="69">
        <v>102231188</v>
      </c>
      <c r="AJ59" s="69">
        <v>89252864</v>
      </c>
      <c r="AK59" s="69">
        <v>88793307</v>
      </c>
      <c r="AL59" s="69">
        <v>103350266</v>
      </c>
      <c r="AM59" s="69">
        <v>106960879</v>
      </c>
      <c r="AN59" s="69">
        <v>119511260</v>
      </c>
      <c r="AO59" s="69">
        <v>117818239</v>
      </c>
      <c r="AP59" s="69">
        <v>121319038</v>
      </c>
      <c r="AQ59" s="69">
        <v>110912304</v>
      </c>
      <c r="AR59" s="69">
        <v>105072449</v>
      </c>
      <c r="AS59" s="69">
        <v>112103473</v>
      </c>
      <c r="AT59" s="69">
        <v>124600320</v>
      </c>
      <c r="AU59" s="69">
        <v>105763091</v>
      </c>
      <c r="AV59">
        <v>128153634</v>
      </c>
      <c r="AW59">
        <v>158587255</v>
      </c>
      <c r="AX59">
        <v>181194611</v>
      </c>
    </row>
    <row r="60" spans="1:50" ht="14.5" x14ac:dyDescent="0.35">
      <c r="A60" s="68" t="s">
        <v>119</v>
      </c>
      <c r="B60" s="68" t="str">
        <f>VLOOKUP(Tabelle_Abfrage_von_MS_Access_Database[[#This Row],[LAND]],Texte!$A$4:$C$261,Texte!$A$1+1,FALSE)</f>
        <v>Montenegro</v>
      </c>
      <c r="C60" s="68" t="s">
        <v>535</v>
      </c>
      <c r="D60" s="68" t="s">
        <v>557</v>
      </c>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69">
        <v>19356917</v>
      </c>
      <c r="AG60" s="69">
        <v>44090771</v>
      </c>
      <c r="AH60" s="69">
        <v>48080988</v>
      </c>
      <c r="AI60" s="69">
        <v>77478996</v>
      </c>
      <c r="AJ60" s="69">
        <v>52692720</v>
      </c>
      <c r="AK60" s="69">
        <v>63596877</v>
      </c>
      <c r="AL60" s="69">
        <v>51140957</v>
      </c>
      <c r="AM60" s="69">
        <v>39594012</v>
      </c>
      <c r="AN60" s="69">
        <v>44016383</v>
      </c>
      <c r="AO60" s="69">
        <v>38359032</v>
      </c>
      <c r="AP60" s="69">
        <v>31598541</v>
      </c>
      <c r="AQ60" s="69">
        <v>41232617</v>
      </c>
      <c r="AR60" s="69">
        <v>48223930</v>
      </c>
      <c r="AS60" s="69">
        <v>48988161</v>
      </c>
      <c r="AT60" s="69">
        <v>55644029</v>
      </c>
      <c r="AU60" s="69">
        <v>39379447</v>
      </c>
      <c r="AV60">
        <v>36443048</v>
      </c>
      <c r="AW60">
        <v>44302455</v>
      </c>
      <c r="AX60">
        <v>57555119</v>
      </c>
    </row>
    <row r="61" spans="1:50" ht="14.5" x14ac:dyDescent="0.35">
      <c r="A61" s="68" t="s">
        <v>121</v>
      </c>
      <c r="B61" s="68" t="str">
        <f>VLOOKUP(Tabelle_Abfrage_von_MS_Access_Database[[#This Row],[LAND]],Texte!$A$4:$C$261,Texte!$A$1+1,FALSE)</f>
        <v>Serbien</v>
      </c>
      <c r="C61" s="68" t="s">
        <v>535</v>
      </c>
      <c r="D61" s="68" t="s">
        <v>557</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69">
        <v>259852385</v>
      </c>
      <c r="AG61" s="69">
        <v>452242263</v>
      </c>
      <c r="AH61" s="69">
        <v>535803958</v>
      </c>
      <c r="AI61" s="69">
        <v>576791212</v>
      </c>
      <c r="AJ61" s="69">
        <v>458581931</v>
      </c>
      <c r="AK61" s="69">
        <v>482517867</v>
      </c>
      <c r="AL61" s="69">
        <v>546849649</v>
      </c>
      <c r="AM61" s="69">
        <v>544612860</v>
      </c>
      <c r="AN61" s="69">
        <v>502574240</v>
      </c>
      <c r="AO61" s="69">
        <v>498507423</v>
      </c>
      <c r="AP61" s="69">
        <v>550648879</v>
      </c>
      <c r="AQ61" s="69">
        <v>615536057</v>
      </c>
      <c r="AR61" s="69">
        <v>673049744</v>
      </c>
      <c r="AS61" s="69">
        <v>672288718</v>
      </c>
      <c r="AT61" s="69">
        <v>775777181</v>
      </c>
      <c r="AU61" s="69">
        <v>686542662</v>
      </c>
      <c r="AV61">
        <v>851958923</v>
      </c>
      <c r="AW61">
        <v>1038020778</v>
      </c>
      <c r="AX61">
        <v>1084323544</v>
      </c>
    </row>
    <row r="62" spans="1:50" ht="14.5" x14ac:dyDescent="0.35">
      <c r="A62" s="68" t="s">
        <v>123</v>
      </c>
      <c r="B62" s="68" t="str">
        <f>VLOOKUP(Tabelle_Abfrage_von_MS_Access_Database[[#This Row],[LAND]],Texte!$A$4:$C$261,Texte!$A$1+1,FALSE)</f>
        <v>Marokko</v>
      </c>
      <c r="C62" s="68" t="s">
        <v>508</v>
      </c>
      <c r="D62" s="68" t="s">
        <v>557</v>
      </c>
      <c r="E62" s="69">
        <v>9741000</v>
      </c>
      <c r="F62" s="69">
        <v>10848000</v>
      </c>
      <c r="G62" s="69">
        <v>10155000</v>
      </c>
      <c r="H62" s="69">
        <v>8683000</v>
      </c>
      <c r="I62" s="69">
        <v>15565000</v>
      </c>
      <c r="J62" s="69">
        <v>7785000</v>
      </c>
      <c r="K62" s="69">
        <v>8284000</v>
      </c>
      <c r="L62" s="69">
        <v>13120000</v>
      </c>
      <c r="M62" s="69">
        <v>8944000</v>
      </c>
      <c r="N62" s="69">
        <v>7213000</v>
      </c>
      <c r="O62" s="69">
        <v>9422000</v>
      </c>
      <c r="P62" s="69">
        <v>9612000</v>
      </c>
      <c r="Q62" s="69">
        <v>18133000</v>
      </c>
      <c r="R62" s="69">
        <v>18441000</v>
      </c>
      <c r="S62" s="69">
        <v>11088000</v>
      </c>
      <c r="T62" s="69">
        <v>18487000</v>
      </c>
      <c r="U62" s="69">
        <v>15059000</v>
      </c>
      <c r="V62" s="69">
        <v>16068475</v>
      </c>
      <c r="W62" s="69">
        <v>19165861</v>
      </c>
      <c r="X62" s="69">
        <v>20166627</v>
      </c>
      <c r="Y62" s="69">
        <v>21964268</v>
      </c>
      <c r="Z62" s="69">
        <v>27882022</v>
      </c>
      <c r="AA62" s="69">
        <v>26123554</v>
      </c>
      <c r="AB62" s="69">
        <v>38605637</v>
      </c>
      <c r="AC62" s="69">
        <v>34419033</v>
      </c>
      <c r="AD62" s="69">
        <v>40674512</v>
      </c>
      <c r="AE62" s="69">
        <v>46634652</v>
      </c>
      <c r="AF62" s="69">
        <v>50505980</v>
      </c>
      <c r="AG62" s="69">
        <v>78191741</v>
      </c>
      <c r="AH62" s="69">
        <v>68361771</v>
      </c>
      <c r="AI62" s="69">
        <v>74967027</v>
      </c>
      <c r="AJ62" s="69">
        <v>68295212</v>
      </c>
      <c r="AK62" s="69">
        <v>86134465</v>
      </c>
      <c r="AL62" s="69">
        <v>98968705</v>
      </c>
      <c r="AM62" s="69">
        <v>89811943</v>
      </c>
      <c r="AN62" s="69">
        <v>116656098</v>
      </c>
      <c r="AO62" s="69">
        <v>106264046</v>
      </c>
      <c r="AP62" s="69">
        <v>115283534</v>
      </c>
      <c r="AQ62" s="69">
        <v>113749207</v>
      </c>
      <c r="AR62" s="69">
        <v>137192383</v>
      </c>
      <c r="AS62" s="69">
        <v>161742904</v>
      </c>
      <c r="AT62" s="69">
        <v>163559477</v>
      </c>
      <c r="AU62" s="69">
        <v>130639060</v>
      </c>
      <c r="AV62">
        <v>179935463</v>
      </c>
      <c r="AW62">
        <v>183634150</v>
      </c>
      <c r="AX62">
        <v>204993318</v>
      </c>
    </row>
    <row r="63" spans="1:50" ht="14.5" x14ac:dyDescent="0.35">
      <c r="A63" s="68" t="s">
        <v>125</v>
      </c>
      <c r="B63" s="68" t="str">
        <f>VLOOKUP(Tabelle_Abfrage_von_MS_Access_Database[[#This Row],[LAND]],Texte!$A$4:$C$261,Texte!$A$1+1,FALSE)</f>
        <v>Algerien</v>
      </c>
      <c r="C63" s="68" t="s">
        <v>508</v>
      </c>
      <c r="D63" s="68" t="s">
        <v>557</v>
      </c>
      <c r="E63" s="69">
        <v>75925000</v>
      </c>
      <c r="F63" s="69">
        <v>77460000</v>
      </c>
      <c r="G63" s="69">
        <v>86569000</v>
      </c>
      <c r="H63" s="69">
        <v>108182000</v>
      </c>
      <c r="I63" s="69">
        <v>109633000</v>
      </c>
      <c r="J63" s="69">
        <v>140620000</v>
      </c>
      <c r="K63" s="69">
        <v>204596000</v>
      </c>
      <c r="L63" s="69">
        <v>271210000</v>
      </c>
      <c r="M63" s="69">
        <v>160122000</v>
      </c>
      <c r="N63" s="69">
        <v>78486000</v>
      </c>
      <c r="O63" s="69">
        <v>117431000</v>
      </c>
      <c r="P63" s="69">
        <v>97726000</v>
      </c>
      <c r="Q63" s="69">
        <v>99968000</v>
      </c>
      <c r="R63" s="69">
        <v>94317000</v>
      </c>
      <c r="S63" s="69">
        <v>98325000</v>
      </c>
      <c r="T63" s="69">
        <v>88470000</v>
      </c>
      <c r="U63" s="69">
        <v>149978000</v>
      </c>
      <c r="V63" s="69">
        <v>68331877</v>
      </c>
      <c r="W63" s="69">
        <v>24652369</v>
      </c>
      <c r="X63" s="69">
        <v>32209470</v>
      </c>
      <c r="Y63" s="69">
        <v>48721962</v>
      </c>
      <c r="Z63" s="69">
        <v>56109299</v>
      </c>
      <c r="AA63" s="69">
        <v>71632447</v>
      </c>
      <c r="AB63" s="69">
        <v>100540852</v>
      </c>
      <c r="AC63" s="69">
        <v>69745055</v>
      </c>
      <c r="AD63" s="69">
        <v>76237130</v>
      </c>
      <c r="AE63" s="69">
        <v>105234309</v>
      </c>
      <c r="AF63" s="69">
        <v>135287232</v>
      </c>
      <c r="AG63" s="69">
        <v>126735367</v>
      </c>
      <c r="AH63" s="69">
        <v>188888166</v>
      </c>
      <c r="AI63" s="69">
        <v>173176628</v>
      </c>
      <c r="AJ63" s="69">
        <v>155257704</v>
      </c>
      <c r="AK63" s="69">
        <v>156639545</v>
      </c>
      <c r="AL63" s="69">
        <v>146884920</v>
      </c>
      <c r="AM63" s="69">
        <v>220310795</v>
      </c>
      <c r="AN63" s="69">
        <v>227877010</v>
      </c>
      <c r="AO63" s="69">
        <v>228990849</v>
      </c>
      <c r="AP63" s="69">
        <v>244470797</v>
      </c>
      <c r="AQ63" s="69">
        <v>202267726</v>
      </c>
      <c r="AR63" s="69">
        <v>260717612</v>
      </c>
      <c r="AS63" s="69">
        <v>257506043</v>
      </c>
      <c r="AT63" s="69">
        <v>278370848</v>
      </c>
      <c r="AU63" s="69">
        <v>250236381</v>
      </c>
      <c r="AV63">
        <v>140201595</v>
      </c>
      <c r="AW63">
        <v>130516493</v>
      </c>
      <c r="AX63">
        <v>179724762</v>
      </c>
    </row>
    <row r="64" spans="1:50" ht="14.5" x14ac:dyDescent="0.35">
      <c r="A64" s="68" t="s">
        <v>127</v>
      </c>
      <c r="B64" s="68" t="str">
        <f>VLOOKUP(Tabelle_Abfrage_von_MS_Access_Database[[#This Row],[LAND]],Texte!$A$4:$C$261,Texte!$A$1+1,FALSE)</f>
        <v>Tunesien</v>
      </c>
      <c r="C64" s="68" t="s">
        <v>508</v>
      </c>
      <c r="D64" s="68" t="s">
        <v>557</v>
      </c>
      <c r="E64" s="69">
        <v>22573000</v>
      </c>
      <c r="F64" s="69">
        <v>63830000</v>
      </c>
      <c r="G64" s="69">
        <v>32307000</v>
      </c>
      <c r="H64" s="69">
        <v>32109000</v>
      </c>
      <c r="I64" s="69">
        <v>48681000</v>
      </c>
      <c r="J64" s="69">
        <v>21614000</v>
      </c>
      <c r="K64" s="69">
        <v>20350000</v>
      </c>
      <c r="L64" s="69">
        <v>20707000</v>
      </c>
      <c r="M64" s="69">
        <v>15408000</v>
      </c>
      <c r="N64" s="69">
        <v>16237000</v>
      </c>
      <c r="O64" s="69">
        <v>23460000</v>
      </c>
      <c r="P64" s="69">
        <v>28994000</v>
      </c>
      <c r="Q64" s="69">
        <v>27902000</v>
      </c>
      <c r="R64" s="69">
        <v>26090000</v>
      </c>
      <c r="S64" s="69">
        <v>23503000</v>
      </c>
      <c r="T64" s="69">
        <v>13728000</v>
      </c>
      <c r="U64" s="69">
        <v>24475000</v>
      </c>
      <c r="V64" s="69">
        <v>16276754</v>
      </c>
      <c r="W64" s="69">
        <v>21658393</v>
      </c>
      <c r="X64" s="69">
        <v>25793482</v>
      </c>
      <c r="Y64" s="69">
        <v>27574690</v>
      </c>
      <c r="Z64" s="69">
        <v>27817490</v>
      </c>
      <c r="AA64" s="69">
        <v>41817464</v>
      </c>
      <c r="AB64" s="69">
        <v>39188749</v>
      </c>
      <c r="AC64" s="69">
        <v>45054308</v>
      </c>
      <c r="AD64" s="69">
        <v>42342597</v>
      </c>
      <c r="AE64" s="69">
        <v>53181938</v>
      </c>
      <c r="AF64" s="69">
        <v>39534364</v>
      </c>
      <c r="AG64" s="69">
        <v>50942314</v>
      </c>
      <c r="AH64" s="69">
        <v>77505655</v>
      </c>
      <c r="AI64" s="69">
        <v>65815914</v>
      </c>
      <c r="AJ64" s="69">
        <v>67057770</v>
      </c>
      <c r="AK64" s="69">
        <v>80167892</v>
      </c>
      <c r="AL64" s="69">
        <v>86460622</v>
      </c>
      <c r="AM64" s="69">
        <v>83881079</v>
      </c>
      <c r="AN64" s="69">
        <v>82911602</v>
      </c>
      <c r="AO64" s="69">
        <v>78609254</v>
      </c>
      <c r="AP64" s="69">
        <v>78916738</v>
      </c>
      <c r="AQ64" s="69">
        <v>80460823</v>
      </c>
      <c r="AR64" s="69">
        <v>76733251</v>
      </c>
      <c r="AS64" s="69">
        <v>90385978</v>
      </c>
      <c r="AT64" s="69">
        <v>90702277</v>
      </c>
      <c r="AU64" s="69">
        <v>67998554</v>
      </c>
      <c r="AV64">
        <v>81676712</v>
      </c>
      <c r="AW64">
        <v>78656830</v>
      </c>
      <c r="AX64">
        <v>83789419</v>
      </c>
    </row>
    <row r="65" spans="1:50" ht="14.5" x14ac:dyDescent="0.35">
      <c r="A65" s="68" t="s">
        <v>129</v>
      </c>
      <c r="B65" s="68" t="str">
        <f>VLOOKUP(Tabelle_Abfrage_von_MS_Access_Database[[#This Row],[LAND]],Texte!$A$4:$C$261,Texte!$A$1+1,FALSE)</f>
        <v>Libyen</v>
      </c>
      <c r="C65" s="68" t="s">
        <v>508</v>
      </c>
      <c r="D65" s="68" t="s">
        <v>557</v>
      </c>
      <c r="E65" s="69">
        <v>65767000</v>
      </c>
      <c r="F65" s="69">
        <v>88587000</v>
      </c>
      <c r="G65" s="69">
        <v>114727000</v>
      </c>
      <c r="H65" s="69">
        <v>172312000</v>
      </c>
      <c r="I65" s="69">
        <v>149737000</v>
      </c>
      <c r="J65" s="69">
        <v>140899000</v>
      </c>
      <c r="K65" s="69">
        <v>139621000</v>
      </c>
      <c r="L65" s="69">
        <v>99136000</v>
      </c>
      <c r="M65" s="69">
        <v>63176000</v>
      </c>
      <c r="N65" s="69">
        <v>67406000</v>
      </c>
      <c r="O65" s="69">
        <v>62929000</v>
      </c>
      <c r="P65" s="69">
        <v>58135000</v>
      </c>
      <c r="Q65" s="69">
        <v>62967000</v>
      </c>
      <c r="R65" s="69">
        <v>58700000</v>
      </c>
      <c r="S65" s="69">
        <v>48243000</v>
      </c>
      <c r="T65" s="69">
        <v>53938000</v>
      </c>
      <c r="U65" s="69">
        <v>44326000</v>
      </c>
      <c r="V65" s="69">
        <v>52016233</v>
      </c>
      <c r="W65" s="69">
        <v>78952562</v>
      </c>
      <c r="X65" s="69">
        <v>66067021</v>
      </c>
      <c r="Y65" s="69">
        <v>60270990</v>
      </c>
      <c r="Z65" s="69">
        <v>41453893</v>
      </c>
      <c r="AA65" s="69">
        <v>47778382</v>
      </c>
      <c r="AB65" s="69">
        <v>45038744</v>
      </c>
      <c r="AC65" s="69">
        <v>60167149</v>
      </c>
      <c r="AD65" s="69">
        <v>42365867</v>
      </c>
      <c r="AE65" s="69">
        <v>66569266</v>
      </c>
      <c r="AF65" s="69">
        <v>61440873</v>
      </c>
      <c r="AG65" s="69">
        <v>59817399</v>
      </c>
      <c r="AH65" s="69">
        <v>71579415</v>
      </c>
      <c r="AI65" s="69">
        <v>90112958</v>
      </c>
      <c r="AJ65" s="69">
        <v>109667398</v>
      </c>
      <c r="AK65" s="69">
        <v>124286920</v>
      </c>
      <c r="AL65" s="69">
        <v>27302497</v>
      </c>
      <c r="AM65" s="69">
        <v>85622110</v>
      </c>
      <c r="AN65" s="69">
        <v>122072473</v>
      </c>
      <c r="AO65" s="69">
        <v>88223444</v>
      </c>
      <c r="AP65" s="69">
        <v>64207588</v>
      </c>
      <c r="AQ65" s="69">
        <v>40876434</v>
      </c>
      <c r="AR65" s="69">
        <v>23189201</v>
      </c>
      <c r="AS65" s="69">
        <v>40925414</v>
      </c>
      <c r="AT65" s="69">
        <v>64000471</v>
      </c>
      <c r="AU65" s="69">
        <v>50786866</v>
      </c>
      <c r="AV65">
        <v>49465902</v>
      </c>
      <c r="AW65">
        <v>48819315</v>
      </c>
      <c r="AX65">
        <v>61609314</v>
      </c>
    </row>
    <row r="66" spans="1:50" ht="14.5" x14ac:dyDescent="0.35">
      <c r="A66" s="68" t="s">
        <v>131</v>
      </c>
      <c r="B66" s="68" t="str">
        <f>VLOOKUP(Tabelle_Abfrage_von_MS_Access_Database[[#This Row],[LAND]],Texte!$A$4:$C$261,Texte!$A$1+1,FALSE)</f>
        <v>Ägypten</v>
      </c>
      <c r="C66" s="68" t="s">
        <v>508</v>
      </c>
      <c r="D66" s="68" t="s">
        <v>557</v>
      </c>
      <c r="E66" s="69">
        <v>58150000</v>
      </c>
      <c r="F66" s="69">
        <v>56701000</v>
      </c>
      <c r="G66" s="69">
        <v>65641000</v>
      </c>
      <c r="H66" s="69">
        <v>130711000</v>
      </c>
      <c r="I66" s="69">
        <v>116632000</v>
      </c>
      <c r="J66" s="69">
        <v>121510000</v>
      </c>
      <c r="K66" s="69">
        <v>196449000</v>
      </c>
      <c r="L66" s="69">
        <v>187742000</v>
      </c>
      <c r="M66" s="69">
        <v>113980000</v>
      </c>
      <c r="N66" s="69">
        <v>118501000</v>
      </c>
      <c r="O66" s="69">
        <v>92720000</v>
      </c>
      <c r="P66" s="69">
        <v>70099000</v>
      </c>
      <c r="Q66" s="69">
        <v>59014000</v>
      </c>
      <c r="R66" s="69">
        <v>72759000</v>
      </c>
      <c r="S66" s="69">
        <v>61080000</v>
      </c>
      <c r="T66" s="69">
        <v>61232000</v>
      </c>
      <c r="U66" s="69">
        <v>84321000</v>
      </c>
      <c r="V66" s="69">
        <v>80072889</v>
      </c>
      <c r="W66" s="69">
        <v>62450823</v>
      </c>
      <c r="X66" s="69">
        <v>98204824</v>
      </c>
      <c r="Y66" s="69">
        <v>110562565</v>
      </c>
      <c r="Z66" s="69">
        <v>128733088</v>
      </c>
      <c r="AA66" s="69">
        <v>128220094</v>
      </c>
      <c r="AB66" s="69">
        <v>108914458</v>
      </c>
      <c r="AC66" s="69">
        <v>125364248</v>
      </c>
      <c r="AD66" s="69">
        <v>103225358</v>
      </c>
      <c r="AE66" s="69">
        <v>104957980</v>
      </c>
      <c r="AF66" s="69">
        <v>127803916</v>
      </c>
      <c r="AG66" s="69">
        <v>156467245</v>
      </c>
      <c r="AH66" s="69">
        <v>194930855</v>
      </c>
      <c r="AI66" s="69">
        <v>207201666</v>
      </c>
      <c r="AJ66" s="69">
        <v>207470769</v>
      </c>
      <c r="AK66" s="69">
        <v>193549304</v>
      </c>
      <c r="AL66" s="69">
        <v>197218737</v>
      </c>
      <c r="AM66" s="69">
        <v>192880943</v>
      </c>
      <c r="AN66" s="69">
        <v>201528167</v>
      </c>
      <c r="AO66" s="69">
        <v>197065701</v>
      </c>
      <c r="AP66" s="69">
        <v>236652124</v>
      </c>
      <c r="AQ66" s="69">
        <v>283633495</v>
      </c>
      <c r="AR66" s="69">
        <v>261343921</v>
      </c>
      <c r="AS66" s="69">
        <v>215948765</v>
      </c>
      <c r="AT66" s="69">
        <v>241940246</v>
      </c>
      <c r="AU66" s="69">
        <v>237758791</v>
      </c>
      <c r="AV66">
        <v>254267158</v>
      </c>
      <c r="AW66">
        <v>253500482</v>
      </c>
      <c r="AX66">
        <v>292615415</v>
      </c>
    </row>
    <row r="67" spans="1:50" ht="14.5" x14ac:dyDescent="0.35">
      <c r="A67" s="68" t="s">
        <v>133</v>
      </c>
      <c r="B67" s="68" t="str">
        <f>VLOOKUP(Tabelle_Abfrage_von_MS_Access_Database[[#This Row],[LAND]],Texte!$A$4:$C$261,Texte!$A$1+1,FALSE)</f>
        <v>Sudan</v>
      </c>
      <c r="C67" s="68" t="s">
        <v>508</v>
      </c>
      <c r="D67" s="68" t="s">
        <v>557</v>
      </c>
      <c r="E67" s="69">
        <v>16089000</v>
      </c>
      <c r="F67" s="69">
        <v>7964000</v>
      </c>
      <c r="G67" s="69">
        <v>13181000</v>
      </c>
      <c r="H67" s="69">
        <v>12842000</v>
      </c>
      <c r="I67" s="69">
        <v>12709000</v>
      </c>
      <c r="J67" s="69">
        <v>20824000</v>
      </c>
      <c r="K67" s="69">
        <v>13134000</v>
      </c>
      <c r="L67" s="69">
        <v>9608000</v>
      </c>
      <c r="M67" s="69">
        <v>10823000</v>
      </c>
      <c r="N67" s="69">
        <v>8214000</v>
      </c>
      <c r="O67" s="69">
        <v>12113000</v>
      </c>
      <c r="P67" s="69">
        <v>4591000</v>
      </c>
      <c r="Q67" s="69">
        <v>6075000</v>
      </c>
      <c r="R67" s="69">
        <v>4570000</v>
      </c>
      <c r="S67" s="69">
        <v>5537000</v>
      </c>
      <c r="T67" s="69">
        <v>3655000</v>
      </c>
      <c r="U67" s="69">
        <v>5618000</v>
      </c>
      <c r="V67" s="69">
        <v>1910640</v>
      </c>
      <c r="W67" s="69">
        <v>1759698</v>
      </c>
      <c r="X67" s="69">
        <v>1919362</v>
      </c>
      <c r="Y67" s="69">
        <v>3750719</v>
      </c>
      <c r="Z67" s="69">
        <v>6692371</v>
      </c>
      <c r="AA67" s="69">
        <v>9778710</v>
      </c>
      <c r="AB67" s="69">
        <v>6783702</v>
      </c>
      <c r="AC67" s="69">
        <v>9865406</v>
      </c>
      <c r="AD67" s="69">
        <v>15368551</v>
      </c>
      <c r="AE67" s="69">
        <v>18658111</v>
      </c>
      <c r="AF67" s="69">
        <v>23737403</v>
      </c>
      <c r="AG67" s="69">
        <v>90123554</v>
      </c>
      <c r="AH67" s="69">
        <v>52646356</v>
      </c>
      <c r="AI67" s="69">
        <v>29471502</v>
      </c>
      <c r="AJ67" s="69">
        <v>30505743</v>
      </c>
      <c r="AK67" s="69">
        <v>42904636</v>
      </c>
      <c r="AL67" s="69">
        <v>22464206</v>
      </c>
      <c r="AM67" s="69">
        <v>23744655</v>
      </c>
      <c r="AN67" s="69">
        <v>20155121</v>
      </c>
      <c r="AO67" s="69">
        <v>22169004</v>
      </c>
      <c r="AP67" s="69">
        <v>20338051</v>
      </c>
      <c r="AQ67" s="69">
        <v>13349943</v>
      </c>
      <c r="AR67" s="69">
        <v>15172992</v>
      </c>
      <c r="AS67" s="69">
        <v>13263274</v>
      </c>
      <c r="AT67" s="69">
        <v>10690843</v>
      </c>
      <c r="AU67" s="69">
        <v>19242977</v>
      </c>
      <c r="AV67">
        <v>8941246</v>
      </c>
      <c r="AW67">
        <v>16830537</v>
      </c>
      <c r="AX67">
        <v>5296810</v>
      </c>
    </row>
    <row r="68" spans="1:50" ht="14.5" x14ac:dyDescent="0.35">
      <c r="A68" s="68" t="s">
        <v>561</v>
      </c>
      <c r="B68" s="68" t="str">
        <f>VLOOKUP(Tabelle_Abfrage_von_MS_Access_Database[[#This Row],[LAND]],Texte!$A$4:$C$261,Texte!$A$1+1,FALSE)</f>
        <v>Südsudan</v>
      </c>
      <c r="C68" s="68" t="s">
        <v>558</v>
      </c>
      <c r="D68" s="68" t="s">
        <v>557</v>
      </c>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69">
        <v>460548</v>
      </c>
      <c r="AO68" s="69">
        <v>1327535</v>
      </c>
      <c r="AP68" s="69">
        <v>1585193</v>
      </c>
      <c r="AQ68" s="69">
        <v>1723952</v>
      </c>
      <c r="AR68" s="69">
        <v>748639</v>
      </c>
      <c r="AS68" s="69">
        <v>668517</v>
      </c>
      <c r="AT68" s="69">
        <v>759009</v>
      </c>
      <c r="AU68" s="69">
        <v>828234</v>
      </c>
      <c r="AV68">
        <v>2916393</v>
      </c>
      <c r="AW68">
        <v>3104377</v>
      </c>
      <c r="AX68">
        <v>3827973</v>
      </c>
    </row>
    <row r="69" spans="1:50" ht="14.5" x14ac:dyDescent="0.35">
      <c r="A69" s="68" t="s">
        <v>135</v>
      </c>
      <c r="B69" s="68" t="str">
        <f>VLOOKUP(Tabelle_Abfrage_von_MS_Access_Database[[#This Row],[LAND]],Texte!$A$4:$C$261,Texte!$A$1+1,FALSE)</f>
        <v>Mauretanien</v>
      </c>
      <c r="C69" s="68" t="s">
        <v>508</v>
      </c>
      <c r="D69" s="68" t="s">
        <v>557</v>
      </c>
      <c r="E69" s="69">
        <v>323000</v>
      </c>
      <c r="F69" s="69">
        <v>22000</v>
      </c>
      <c r="G69" s="69">
        <v>114000</v>
      </c>
      <c r="H69" s="69">
        <v>65000</v>
      </c>
      <c r="I69" s="69">
        <v>225000</v>
      </c>
      <c r="J69" s="69">
        <v>297000</v>
      </c>
      <c r="K69" s="69">
        <v>1023000</v>
      </c>
      <c r="L69" s="69">
        <v>570000</v>
      </c>
      <c r="M69" s="69">
        <v>1781000</v>
      </c>
      <c r="N69" s="69">
        <v>480000</v>
      </c>
      <c r="O69" s="69">
        <v>586000</v>
      </c>
      <c r="P69" s="69">
        <v>348000</v>
      </c>
      <c r="Q69" s="69">
        <v>515000</v>
      </c>
      <c r="R69" s="69">
        <v>897000</v>
      </c>
      <c r="S69" s="69">
        <v>470000</v>
      </c>
      <c r="T69" s="69">
        <v>785000</v>
      </c>
      <c r="U69" s="69">
        <v>982000</v>
      </c>
      <c r="V69" s="69">
        <v>3664094</v>
      </c>
      <c r="W69" s="69">
        <v>3395710</v>
      </c>
      <c r="X69" s="69">
        <v>3012140</v>
      </c>
      <c r="Y69" s="69">
        <v>1486376</v>
      </c>
      <c r="Z69" s="69">
        <v>1579182</v>
      </c>
      <c r="AA69" s="69">
        <v>2377057</v>
      </c>
      <c r="AB69" s="69">
        <v>1489099</v>
      </c>
      <c r="AC69" s="69">
        <v>1826356</v>
      </c>
      <c r="AD69" s="69">
        <v>2190389</v>
      </c>
      <c r="AE69" s="69">
        <v>1765967</v>
      </c>
      <c r="AF69" s="69">
        <v>2069737</v>
      </c>
      <c r="AG69" s="69">
        <v>2164727</v>
      </c>
      <c r="AH69" s="69">
        <v>3611579</v>
      </c>
      <c r="AI69" s="69">
        <v>4301716</v>
      </c>
      <c r="AJ69" s="69">
        <v>5628601</v>
      </c>
      <c r="AK69" s="69">
        <v>7092904</v>
      </c>
      <c r="AL69" s="69">
        <v>12693558</v>
      </c>
      <c r="AM69" s="69">
        <v>13796603</v>
      </c>
      <c r="AN69" s="69">
        <v>9285424</v>
      </c>
      <c r="AO69" s="69">
        <v>14982707</v>
      </c>
      <c r="AP69" s="69">
        <v>31674038</v>
      </c>
      <c r="AQ69" s="69">
        <v>15317693</v>
      </c>
      <c r="AR69" s="69">
        <v>15425473</v>
      </c>
      <c r="AS69" s="69">
        <v>24020929</v>
      </c>
      <c r="AT69" s="69">
        <v>15450317</v>
      </c>
      <c r="AU69" s="69">
        <v>11447103</v>
      </c>
      <c r="AV69">
        <v>11720039</v>
      </c>
      <c r="AW69">
        <v>12664364</v>
      </c>
      <c r="AX69">
        <v>16030246</v>
      </c>
    </row>
    <row r="70" spans="1:50" ht="14.5" x14ac:dyDescent="0.35">
      <c r="A70" s="68" t="s">
        <v>563</v>
      </c>
      <c r="B70" s="68" t="str">
        <f>VLOOKUP(Tabelle_Abfrage_von_MS_Access_Database[[#This Row],[LAND]],Texte!$A$4:$C$261,Texte!$A$1+1,FALSE)</f>
        <v>Westsahara</v>
      </c>
      <c r="C70" s="68" t="s">
        <v>558</v>
      </c>
      <c r="D70" s="68" t="s">
        <v>557</v>
      </c>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69">
        <v>82484</v>
      </c>
      <c r="AO70" s="69">
        <v>50707</v>
      </c>
      <c r="AP70" s="70"/>
      <c r="AQ70" s="69">
        <v>7890</v>
      </c>
      <c r="AR70" s="69">
        <v>14933</v>
      </c>
      <c r="AS70" s="69">
        <v>67579</v>
      </c>
      <c r="AT70" s="69">
        <v>0</v>
      </c>
      <c r="AU70" s="70"/>
      <c r="AV70">
        <v>71374</v>
      </c>
      <c r="AW70">
        <v>50903</v>
      </c>
      <c r="AX70">
        <v>0</v>
      </c>
    </row>
    <row r="71" spans="1:50" ht="14.5" x14ac:dyDescent="0.35">
      <c r="A71" s="68" t="s">
        <v>137</v>
      </c>
      <c r="B71" s="68" t="str">
        <f>VLOOKUP(Tabelle_Abfrage_von_MS_Access_Database[[#This Row],[LAND]],Texte!$A$4:$C$261,Texte!$A$1+1,FALSE)</f>
        <v>Mali</v>
      </c>
      <c r="C71" s="68" t="s">
        <v>508</v>
      </c>
      <c r="D71" s="68" t="s">
        <v>557</v>
      </c>
      <c r="E71" s="69">
        <v>656000</v>
      </c>
      <c r="F71" s="69">
        <v>532000</v>
      </c>
      <c r="G71" s="69">
        <v>214000</v>
      </c>
      <c r="H71" s="69">
        <v>194000</v>
      </c>
      <c r="I71" s="69">
        <v>821000</v>
      </c>
      <c r="J71" s="69">
        <v>774000</v>
      </c>
      <c r="K71" s="69">
        <v>1469000</v>
      </c>
      <c r="L71" s="69">
        <v>3409000</v>
      </c>
      <c r="M71" s="69">
        <v>3110000</v>
      </c>
      <c r="N71" s="69">
        <v>2785000</v>
      </c>
      <c r="O71" s="69">
        <v>1201000</v>
      </c>
      <c r="P71" s="69">
        <v>1375000</v>
      </c>
      <c r="Q71" s="69">
        <v>1127000</v>
      </c>
      <c r="R71" s="69">
        <v>939000</v>
      </c>
      <c r="S71" s="69">
        <v>1015000</v>
      </c>
      <c r="T71" s="69">
        <v>2299000</v>
      </c>
      <c r="U71" s="69">
        <v>1818000</v>
      </c>
      <c r="V71" s="69">
        <v>3332846</v>
      </c>
      <c r="W71" s="69">
        <v>3599193</v>
      </c>
      <c r="X71" s="69">
        <v>5754377</v>
      </c>
      <c r="Y71" s="69">
        <v>4970168</v>
      </c>
      <c r="Z71" s="69">
        <v>5461510</v>
      </c>
      <c r="AA71" s="69">
        <v>3456397</v>
      </c>
      <c r="AB71" s="69">
        <v>4627642</v>
      </c>
      <c r="AC71" s="69">
        <v>3813772</v>
      </c>
      <c r="AD71" s="69">
        <v>6086438</v>
      </c>
      <c r="AE71" s="69">
        <v>4680387</v>
      </c>
      <c r="AF71" s="69">
        <v>5616386</v>
      </c>
      <c r="AG71" s="69">
        <v>8662631</v>
      </c>
      <c r="AH71" s="69">
        <v>11301351</v>
      </c>
      <c r="AI71" s="69">
        <v>9875408</v>
      </c>
      <c r="AJ71" s="69">
        <v>17254238</v>
      </c>
      <c r="AK71" s="69">
        <v>26812430</v>
      </c>
      <c r="AL71" s="69">
        <v>30459033</v>
      </c>
      <c r="AM71" s="69">
        <v>37693428</v>
      </c>
      <c r="AN71" s="69">
        <v>33235828</v>
      </c>
      <c r="AO71" s="69">
        <v>50936438</v>
      </c>
      <c r="AP71" s="69">
        <v>63682156</v>
      </c>
      <c r="AQ71" s="69">
        <v>80215046</v>
      </c>
      <c r="AR71" s="69">
        <v>90782673</v>
      </c>
      <c r="AS71" s="69">
        <v>120495046</v>
      </c>
      <c r="AT71" s="69">
        <v>130501615</v>
      </c>
      <c r="AU71" s="69">
        <v>149489259</v>
      </c>
      <c r="AV71">
        <v>164937409</v>
      </c>
      <c r="AW71">
        <v>159736255</v>
      </c>
      <c r="AX71">
        <v>167979597</v>
      </c>
    </row>
    <row r="72" spans="1:50" ht="14.5" x14ac:dyDescent="0.35">
      <c r="A72" s="68" t="s">
        <v>139</v>
      </c>
      <c r="B72" s="68" t="str">
        <f>VLOOKUP(Tabelle_Abfrage_von_MS_Access_Database[[#This Row],[LAND]],Texte!$A$4:$C$261,Texte!$A$1+1,FALSE)</f>
        <v>Burkina Faso</v>
      </c>
      <c r="C72" s="68" t="s">
        <v>508</v>
      </c>
      <c r="D72" s="68" t="s">
        <v>557</v>
      </c>
      <c r="E72" s="69">
        <v>141000</v>
      </c>
      <c r="F72" s="69">
        <v>1204000</v>
      </c>
      <c r="G72" s="69">
        <v>224000</v>
      </c>
      <c r="H72" s="69">
        <v>398000</v>
      </c>
      <c r="I72" s="69">
        <v>225000</v>
      </c>
      <c r="J72" s="69">
        <v>3191000</v>
      </c>
      <c r="K72" s="69">
        <v>656000</v>
      </c>
      <c r="L72" s="69">
        <v>370000</v>
      </c>
      <c r="M72" s="69">
        <v>443000</v>
      </c>
      <c r="N72" s="69">
        <v>423000</v>
      </c>
      <c r="O72" s="69">
        <v>308000</v>
      </c>
      <c r="P72" s="69">
        <v>324000</v>
      </c>
      <c r="Q72" s="69">
        <v>360000</v>
      </c>
      <c r="R72" s="69">
        <v>524000</v>
      </c>
      <c r="S72" s="69">
        <v>137000</v>
      </c>
      <c r="T72" s="69">
        <v>363000</v>
      </c>
      <c r="U72" s="69">
        <v>205000</v>
      </c>
      <c r="V72" s="69">
        <v>600930</v>
      </c>
      <c r="W72" s="69">
        <v>725783</v>
      </c>
      <c r="X72" s="69">
        <v>888713</v>
      </c>
      <c r="Y72" s="69">
        <v>1081443</v>
      </c>
      <c r="Z72" s="69">
        <v>1250768</v>
      </c>
      <c r="AA72" s="69">
        <v>464160</v>
      </c>
      <c r="AB72" s="69">
        <v>743661</v>
      </c>
      <c r="AC72" s="69">
        <v>1024825</v>
      </c>
      <c r="AD72" s="69">
        <v>435233</v>
      </c>
      <c r="AE72" s="69">
        <v>571244</v>
      </c>
      <c r="AF72" s="69">
        <v>665302</v>
      </c>
      <c r="AG72" s="69">
        <v>613290</v>
      </c>
      <c r="AH72" s="69">
        <v>550280</v>
      </c>
      <c r="AI72" s="69">
        <v>535360</v>
      </c>
      <c r="AJ72" s="69">
        <v>1568572</v>
      </c>
      <c r="AK72" s="69">
        <v>1337651</v>
      </c>
      <c r="AL72" s="69">
        <v>1872050</v>
      </c>
      <c r="AM72" s="69">
        <v>4077141</v>
      </c>
      <c r="AN72" s="69">
        <v>1642542</v>
      </c>
      <c r="AO72" s="69">
        <v>1162565</v>
      </c>
      <c r="AP72" s="69">
        <v>2776933</v>
      </c>
      <c r="AQ72" s="69">
        <v>2163986</v>
      </c>
      <c r="AR72" s="69">
        <v>2087246</v>
      </c>
      <c r="AS72" s="69">
        <v>1716313</v>
      </c>
      <c r="AT72" s="69">
        <v>1855256</v>
      </c>
      <c r="AU72" s="69">
        <v>2749096</v>
      </c>
      <c r="AV72">
        <v>2349167</v>
      </c>
      <c r="AW72">
        <v>2516041</v>
      </c>
      <c r="AX72">
        <v>15539778</v>
      </c>
    </row>
    <row r="73" spans="1:50" ht="14.5" x14ac:dyDescent="0.35">
      <c r="A73" s="68" t="s">
        <v>141</v>
      </c>
      <c r="B73" s="68" t="str">
        <f>VLOOKUP(Tabelle_Abfrage_von_MS_Access_Database[[#This Row],[LAND]],Texte!$A$4:$C$261,Texte!$A$1+1,FALSE)</f>
        <v>Niger</v>
      </c>
      <c r="C73" s="68" t="s">
        <v>509</v>
      </c>
      <c r="D73" s="68" t="s">
        <v>557</v>
      </c>
      <c r="E73" s="69">
        <v>0</v>
      </c>
      <c r="F73" s="69">
        <v>2752000</v>
      </c>
      <c r="G73" s="69">
        <v>2864000</v>
      </c>
      <c r="H73" s="69">
        <v>4817000</v>
      </c>
      <c r="I73" s="69">
        <v>7807000</v>
      </c>
      <c r="J73" s="69">
        <v>7045000</v>
      </c>
      <c r="K73" s="69">
        <v>3315000</v>
      </c>
      <c r="L73" s="69">
        <v>1853000</v>
      </c>
      <c r="M73" s="69">
        <v>249000</v>
      </c>
      <c r="N73" s="69">
        <v>625000</v>
      </c>
      <c r="O73" s="69">
        <v>726000</v>
      </c>
      <c r="P73" s="69">
        <v>1567000</v>
      </c>
      <c r="Q73" s="69">
        <v>477000</v>
      </c>
      <c r="R73" s="69">
        <v>353000</v>
      </c>
      <c r="S73" s="69">
        <v>678000</v>
      </c>
      <c r="T73" s="69">
        <v>393000</v>
      </c>
      <c r="U73" s="69">
        <v>604000</v>
      </c>
      <c r="V73" s="69">
        <v>284150</v>
      </c>
      <c r="W73" s="69">
        <v>96873</v>
      </c>
      <c r="X73" s="69">
        <v>61045</v>
      </c>
      <c r="Y73" s="69">
        <v>58211</v>
      </c>
      <c r="Z73" s="69">
        <v>153195</v>
      </c>
      <c r="AA73" s="69">
        <v>665830</v>
      </c>
      <c r="AB73" s="69">
        <v>411810</v>
      </c>
      <c r="AC73" s="69">
        <v>311599</v>
      </c>
      <c r="AD73" s="69">
        <v>177490</v>
      </c>
      <c r="AE73" s="69">
        <v>495052</v>
      </c>
      <c r="AF73" s="69">
        <v>142185</v>
      </c>
      <c r="AG73" s="69">
        <v>448506</v>
      </c>
      <c r="AH73" s="69">
        <v>706797</v>
      </c>
      <c r="AI73" s="69">
        <v>3786653</v>
      </c>
      <c r="AJ73" s="69">
        <v>292099</v>
      </c>
      <c r="AK73" s="69">
        <v>542797</v>
      </c>
      <c r="AL73" s="69">
        <v>499995</v>
      </c>
      <c r="AM73" s="69">
        <v>501358</v>
      </c>
      <c r="AN73" s="69">
        <v>281161</v>
      </c>
      <c r="AO73" s="69">
        <v>741826</v>
      </c>
      <c r="AP73" s="69">
        <v>430333</v>
      </c>
      <c r="AQ73" s="69">
        <v>479827</v>
      </c>
      <c r="AR73" s="69">
        <v>394781</v>
      </c>
      <c r="AS73" s="69">
        <v>468106</v>
      </c>
      <c r="AT73" s="69">
        <v>2340949</v>
      </c>
      <c r="AU73" s="69">
        <v>4397844</v>
      </c>
      <c r="AV73">
        <v>5552429</v>
      </c>
      <c r="AW73">
        <v>5505103</v>
      </c>
      <c r="AX73">
        <v>5293741</v>
      </c>
    </row>
    <row r="74" spans="1:50" ht="14.5" x14ac:dyDescent="0.35">
      <c r="A74" s="68" t="s">
        <v>143</v>
      </c>
      <c r="B74" s="68" t="str">
        <f>VLOOKUP(Tabelle_Abfrage_von_MS_Access_Database[[#This Row],[LAND]],Texte!$A$4:$C$261,Texte!$A$1+1,FALSE)</f>
        <v>Tschad</v>
      </c>
      <c r="C74" s="68" t="s">
        <v>508</v>
      </c>
      <c r="D74" s="68" t="s">
        <v>557</v>
      </c>
      <c r="E74" s="69">
        <v>242000</v>
      </c>
      <c r="F74" s="69">
        <v>169000</v>
      </c>
      <c r="G74" s="69">
        <v>3000</v>
      </c>
      <c r="H74" s="69">
        <v>5000</v>
      </c>
      <c r="I74" s="69">
        <v>4000</v>
      </c>
      <c r="J74" s="69">
        <v>0</v>
      </c>
      <c r="K74" s="69">
        <v>4000</v>
      </c>
      <c r="L74" s="69">
        <v>0</v>
      </c>
      <c r="M74" s="69">
        <v>547000</v>
      </c>
      <c r="N74" s="69">
        <v>91000</v>
      </c>
      <c r="O74" s="69">
        <v>650000</v>
      </c>
      <c r="P74" s="69">
        <v>112000</v>
      </c>
      <c r="Q74" s="69">
        <v>113000</v>
      </c>
      <c r="R74" s="69">
        <v>44000</v>
      </c>
      <c r="S74" s="69">
        <v>24000</v>
      </c>
      <c r="T74" s="69">
        <v>17000</v>
      </c>
      <c r="U74" s="69">
        <v>80000</v>
      </c>
      <c r="V74" s="69">
        <v>87571</v>
      </c>
      <c r="W74" s="69">
        <v>209297</v>
      </c>
      <c r="X74" s="69">
        <v>570263</v>
      </c>
      <c r="Y74" s="69">
        <v>202539</v>
      </c>
      <c r="Z74" s="69">
        <v>185897</v>
      </c>
      <c r="AA74" s="69">
        <v>84227</v>
      </c>
      <c r="AB74" s="69">
        <v>123545</v>
      </c>
      <c r="AC74" s="69">
        <v>160077</v>
      </c>
      <c r="AD74" s="69">
        <v>2470142</v>
      </c>
      <c r="AE74" s="69">
        <v>1196352</v>
      </c>
      <c r="AF74" s="69">
        <v>5450791</v>
      </c>
      <c r="AG74" s="69">
        <v>4676874</v>
      </c>
      <c r="AH74" s="69">
        <v>1789837</v>
      </c>
      <c r="AI74" s="69">
        <v>3957649</v>
      </c>
      <c r="AJ74" s="69">
        <v>16037221</v>
      </c>
      <c r="AK74" s="69">
        <v>10651442</v>
      </c>
      <c r="AL74" s="69">
        <v>3431607</v>
      </c>
      <c r="AM74" s="69">
        <v>3164047</v>
      </c>
      <c r="AN74" s="69">
        <v>2795923</v>
      </c>
      <c r="AO74" s="69">
        <v>8996605</v>
      </c>
      <c r="AP74" s="69">
        <v>4468073</v>
      </c>
      <c r="AQ74" s="69">
        <v>4858448</v>
      </c>
      <c r="AR74" s="69">
        <v>1557065</v>
      </c>
      <c r="AS74" s="69">
        <v>1945679</v>
      </c>
      <c r="AT74" s="69">
        <v>2487391</v>
      </c>
      <c r="AU74" s="69">
        <v>2246146</v>
      </c>
      <c r="AV74">
        <v>629621</v>
      </c>
      <c r="AW74">
        <v>2750969</v>
      </c>
      <c r="AX74">
        <v>3070717</v>
      </c>
    </row>
    <row r="75" spans="1:50" ht="14.5" x14ac:dyDescent="0.35">
      <c r="A75" s="68" t="s">
        <v>145</v>
      </c>
      <c r="B75" s="68" t="str">
        <f>VLOOKUP(Tabelle_Abfrage_von_MS_Access_Database[[#This Row],[LAND]],Texte!$A$4:$C$261,Texte!$A$1+1,FALSE)</f>
        <v>Kap Verde</v>
      </c>
      <c r="C75" s="68" t="s">
        <v>508</v>
      </c>
      <c r="D75" s="68" t="s">
        <v>557</v>
      </c>
      <c r="E75" s="69">
        <v>3000</v>
      </c>
      <c r="F75" s="69">
        <v>1000</v>
      </c>
      <c r="G75" s="69">
        <v>5000</v>
      </c>
      <c r="H75" s="69">
        <v>6000</v>
      </c>
      <c r="I75" s="69">
        <v>98000</v>
      </c>
      <c r="J75" s="69">
        <v>385000</v>
      </c>
      <c r="K75" s="69">
        <v>161000</v>
      </c>
      <c r="L75" s="69">
        <v>368000</v>
      </c>
      <c r="M75" s="69">
        <v>326000</v>
      </c>
      <c r="N75" s="69">
        <v>597000</v>
      </c>
      <c r="O75" s="69">
        <v>493000</v>
      </c>
      <c r="P75" s="69">
        <v>291000</v>
      </c>
      <c r="Q75" s="69">
        <v>167000</v>
      </c>
      <c r="R75" s="69">
        <v>171000</v>
      </c>
      <c r="S75" s="69">
        <v>434000</v>
      </c>
      <c r="T75" s="69">
        <v>220000</v>
      </c>
      <c r="U75" s="69">
        <v>1004000</v>
      </c>
      <c r="V75" s="69">
        <v>276450</v>
      </c>
      <c r="W75" s="69">
        <v>1190237</v>
      </c>
      <c r="X75" s="69">
        <v>268235</v>
      </c>
      <c r="Y75" s="69">
        <v>225578</v>
      </c>
      <c r="Z75" s="69">
        <v>505220</v>
      </c>
      <c r="AA75" s="69">
        <v>772877</v>
      </c>
      <c r="AB75" s="69">
        <v>1405539</v>
      </c>
      <c r="AC75" s="69">
        <v>1001984</v>
      </c>
      <c r="AD75" s="69">
        <v>1026147</v>
      </c>
      <c r="AE75" s="69">
        <v>236589</v>
      </c>
      <c r="AF75" s="69">
        <v>396343</v>
      </c>
      <c r="AG75" s="69">
        <v>156017</v>
      </c>
      <c r="AH75" s="69">
        <v>244818</v>
      </c>
      <c r="AI75" s="69">
        <v>349185</v>
      </c>
      <c r="AJ75" s="69">
        <v>290607</v>
      </c>
      <c r="AK75" s="69">
        <v>306773</v>
      </c>
      <c r="AL75" s="69">
        <v>432901</v>
      </c>
      <c r="AM75" s="69">
        <v>2056177</v>
      </c>
      <c r="AN75" s="69">
        <v>629330</v>
      </c>
      <c r="AO75" s="69">
        <v>1088233</v>
      </c>
      <c r="AP75" s="69">
        <v>737126</v>
      </c>
      <c r="AQ75" s="69">
        <v>1144562</v>
      </c>
      <c r="AR75" s="69">
        <v>330654</v>
      </c>
      <c r="AS75" s="69">
        <v>521572</v>
      </c>
      <c r="AT75" s="69">
        <v>572413</v>
      </c>
      <c r="AU75" s="69">
        <v>3145460</v>
      </c>
      <c r="AV75">
        <v>399488</v>
      </c>
      <c r="AW75">
        <v>1882241</v>
      </c>
      <c r="AX75">
        <v>852406</v>
      </c>
    </row>
    <row r="76" spans="1:50" ht="14.5" x14ac:dyDescent="0.35">
      <c r="A76" s="68" t="s">
        <v>147</v>
      </c>
      <c r="B76" s="68" t="str">
        <f>VLOOKUP(Tabelle_Abfrage_von_MS_Access_Database[[#This Row],[LAND]],Texte!$A$4:$C$261,Texte!$A$1+1,FALSE)</f>
        <v>Senegal</v>
      </c>
      <c r="C76" s="68" t="s">
        <v>508</v>
      </c>
      <c r="D76" s="68" t="s">
        <v>557</v>
      </c>
      <c r="E76" s="69">
        <v>2242000</v>
      </c>
      <c r="F76" s="69">
        <v>3616000</v>
      </c>
      <c r="G76" s="69">
        <v>3038000</v>
      </c>
      <c r="H76" s="69">
        <v>5561000</v>
      </c>
      <c r="I76" s="69">
        <v>10113000</v>
      </c>
      <c r="J76" s="69">
        <v>10981000</v>
      </c>
      <c r="K76" s="69">
        <v>11581000</v>
      </c>
      <c r="L76" s="69">
        <v>6827000</v>
      </c>
      <c r="M76" s="69">
        <v>6556000</v>
      </c>
      <c r="N76" s="69">
        <v>5378000</v>
      </c>
      <c r="O76" s="69">
        <v>6236000</v>
      </c>
      <c r="P76" s="69">
        <v>5565000</v>
      </c>
      <c r="Q76" s="69">
        <v>4529000</v>
      </c>
      <c r="R76" s="69">
        <v>7516000</v>
      </c>
      <c r="S76" s="69">
        <v>9241000</v>
      </c>
      <c r="T76" s="69">
        <v>12242000</v>
      </c>
      <c r="U76" s="69">
        <v>4732000</v>
      </c>
      <c r="V76" s="69">
        <v>2321315</v>
      </c>
      <c r="W76" s="69">
        <v>3850862</v>
      </c>
      <c r="X76" s="69">
        <v>4277157</v>
      </c>
      <c r="Y76" s="69">
        <v>6138236</v>
      </c>
      <c r="Z76" s="69">
        <v>8197712</v>
      </c>
      <c r="AA76" s="69">
        <v>9532858</v>
      </c>
      <c r="AB76" s="69">
        <v>12874159</v>
      </c>
      <c r="AC76" s="69">
        <v>7817028</v>
      </c>
      <c r="AD76" s="69">
        <v>7041365</v>
      </c>
      <c r="AE76" s="69">
        <v>4796790</v>
      </c>
      <c r="AF76" s="69">
        <v>5191757</v>
      </c>
      <c r="AG76" s="69">
        <v>5461769</v>
      </c>
      <c r="AH76" s="69">
        <v>7987145</v>
      </c>
      <c r="AI76" s="69">
        <v>11279483</v>
      </c>
      <c r="AJ76" s="69">
        <v>9915461</v>
      </c>
      <c r="AK76" s="69">
        <v>10442005</v>
      </c>
      <c r="AL76" s="69">
        <v>15395394</v>
      </c>
      <c r="AM76" s="69">
        <v>14126342</v>
      </c>
      <c r="AN76" s="69">
        <v>22348719</v>
      </c>
      <c r="AO76" s="69">
        <v>22946993</v>
      </c>
      <c r="AP76" s="69">
        <v>20223796</v>
      </c>
      <c r="AQ76" s="69">
        <v>38099945</v>
      </c>
      <c r="AR76" s="69">
        <v>35885408</v>
      </c>
      <c r="AS76" s="69">
        <v>39172521</v>
      </c>
      <c r="AT76" s="69">
        <v>40103758</v>
      </c>
      <c r="AU76" s="69">
        <v>44788488</v>
      </c>
      <c r="AV76">
        <v>49911799</v>
      </c>
      <c r="AW76">
        <v>66129607</v>
      </c>
      <c r="AX76">
        <v>59716288</v>
      </c>
    </row>
    <row r="77" spans="1:50" ht="14.5" x14ac:dyDescent="0.35">
      <c r="A77" s="68" t="s">
        <v>149</v>
      </c>
      <c r="B77" s="68" t="str">
        <f>VLOOKUP(Tabelle_Abfrage_von_MS_Access_Database[[#This Row],[LAND]],Texte!$A$4:$C$261,Texte!$A$1+1,FALSE)</f>
        <v>Gambia</v>
      </c>
      <c r="C77" s="68" t="s">
        <v>508</v>
      </c>
      <c r="D77" s="68" t="s">
        <v>557</v>
      </c>
      <c r="E77" s="69">
        <v>229000</v>
      </c>
      <c r="F77" s="69">
        <v>3458000</v>
      </c>
      <c r="G77" s="69">
        <v>1249000</v>
      </c>
      <c r="H77" s="69">
        <v>503000</v>
      </c>
      <c r="I77" s="69">
        <v>262000</v>
      </c>
      <c r="J77" s="69">
        <v>329000</v>
      </c>
      <c r="K77" s="69">
        <v>698000</v>
      </c>
      <c r="L77" s="69">
        <v>433000</v>
      </c>
      <c r="M77" s="69">
        <v>185000</v>
      </c>
      <c r="N77" s="69">
        <v>149000</v>
      </c>
      <c r="O77" s="69">
        <v>88000</v>
      </c>
      <c r="P77" s="69">
        <v>131000</v>
      </c>
      <c r="Q77" s="69">
        <v>751000</v>
      </c>
      <c r="R77" s="69">
        <v>1852000</v>
      </c>
      <c r="S77" s="69">
        <v>2127000</v>
      </c>
      <c r="T77" s="69">
        <v>1007000</v>
      </c>
      <c r="U77" s="69">
        <v>271000</v>
      </c>
      <c r="V77" s="69">
        <v>335457</v>
      </c>
      <c r="W77" s="69">
        <v>442214</v>
      </c>
      <c r="X77" s="69">
        <v>538939</v>
      </c>
      <c r="Y77" s="69">
        <v>776290</v>
      </c>
      <c r="Z77" s="69">
        <v>1152519</v>
      </c>
      <c r="AA77" s="69">
        <v>874398</v>
      </c>
      <c r="AB77" s="69">
        <v>1337413</v>
      </c>
      <c r="AC77" s="69">
        <v>1570703</v>
      </c>
      <c r="AD77" s="69">
        <v>741017</v>
      </c>
      <c r="AE77" s="69">
        <v>846831</v>
      </c>
      <c r="AF77" s="69">
        <v>359092</v>
      </c>
      <c r="AG77" s="69">
        <v>483287</v>
      </c>
      <c r="AH77" s="69">
        <v>763609</v>
      </c>
      <c r="AI77" s="69">
        <v>695094</v>
      </c>
      <c r="AJ77" s="69">
        <v>832427</v>
      </c>
      <c r="AK77" s="69">
        <v>701832</v>
      </c>
      <c r="AL77" s="69">
        <v>520831</v>
      </c>
      <c r="AM77" s="69">
        <v>618177</v>
      </c>
      <c r="AN77" s="69">
        <v>379759</v>
      </c>
      <c r="AO77" s="69">
        <v>225901</v>
      </c>
      <c r="AP77" s="69">
        <v>1013534</v>
      </c>
      <c r="AQ77" s="69">
        <v>431325</v>
      </c>
      <c r="AR77" s="69">
        <v>569218</v>
      </c>
      <c r="AS77" s="69">
        <v>3513166</v>
      </c>
      <c r="AT77" s="69">
        <v>1157440</v>
      </c>
      <c r="AU77" s="69">
        <v>2106133</v>
      </c>
      <c r="AV77">
        <v>5725910</v>
      </c>
      <c r="AW77">
        <v>4731202</v>
      </c>
      <c r="AX77">
        <v>7497960</v>
      </c>
    </row>
    <row r="78" spans="1:50" ht="14.5" x14ac:dyDescent="0.35">
      <c r="A78" s="68" t="s">
        <v>151</v>
      </c>
      <c r="B78" s="68" t="str">
        <f>VLOOKUP(Tabelle_Abfrage_von_MS_Access_Database[[#This Row],[LAND]],Texte!$A$4:$C$261,Texte!$A$1+1,FALSE)</f>
        <v>Guinea-Bissau</v>
      </c>
      <c r="C78" s="68" t="s">
        <v>508</v>
      </c>
      <c r="D78" s="68" t="s">
        <v>557</v>
      </c>
      <c r="E78" s="69">
        <v>13000</v>
      </c>
      <c r="F78" s="69">
        <v>140000</v>
      </c>
      <c r="G78" s="69">
        <v>0</v>
      </c>
      <c r="H78" s="69">
        <v>3000</v>
      </c>
      <c r="I78" s="69">
        <v>212000</v>
      </c>
      <c r="J78" s="69">
        <v>54000</v>
      </c>
      <c r="K78" s="69">
        <v>61000</v>
      </c>
      <c r="L78" s="69">
        <v>6000</v>
      </c>
      <c r="M78" s="69">
        <v>5000</v>
      </c>
      <c r="N78" s="69">
        <v>102000</v>
      </c>
      <c r="O78" s="69">
        <v>12000</v>
      </c>
      <c r="P78" s="69">
        <v>165000</v>
      </c>
      <c r="Q78" s="69">
        <v>34000</v>
      </c>
      <c r="R78" s="69">
        <v>196000</v>
      </c>
      <c r="S78" s="69">
        <v>38000</v>
      </c>
      <c r="T78" s="69">
        <v>221000</v>
      </c>
      <c r="U78" s="69">
        <v>671000</v>
      </c>
      <c r="V78" s="69">
        <v>0</v>
      </c>
      <c r="W78" s="69">
        <v>171871</v>
      </c>
      <c r="X78" s="69">
        <v>68603</v>
      </c>
      <c r="Y78" s="69">
        <v>72383</v>
      </c>
      <c r="Z78" s="69">
        <v>65623</v>
      </c>
      <c r="AA78" s="69">
        <v>30086</v>
      </c>
      <c r="AB78" s="69">
        <v>0</v>
      </c>
      <c r="AC78" s="69">
        <v>16062</v>
      </c>
      <c r="AD78" s="69">
        <v>0</v>
      </c>
      <c r="AE78" s="69">
        <v>171309</v>
      </c>
      <c r="AF78" s="69">
        <v>95323</v>
      </c>
      <c r="AG78" s="69">
        <v>4717</v>
      </c>
      <c r="AH78" s="69">
        <v>50031</v>
      </c>
      <c r="AI78" s="69">
        <v>1170378</v>
      </c>
      <c r="AJ78" s="69">
        <v>1201897</v>
      </c>
      <c r="AK78" s="69">
        <v>63942</v>
      </c>
      <c r="AL78" s="69">
        <v>4225</v>
      </c>
      <c r="AM78" s="69">
        <v>6422</v>
      </c>
      <c r="AN78" s="69">
        <v>67716</v>
      </c>
      <c r="AO78" s="69">
        <v>48702</v>
      </c>
      <c r="AP78" s="69">
        <v>39728</v>
      </c>
      <c r="AQ78" s="69">
        <v>72170</v>
      </c>
      <c r="AR78" s="69">
        <v>3412878</v>
      </c>
      <c r="AS78" s="69">
        <v>93988</v>
      </c>
      <c r="AT78" s="69">
        <v>29561</v>
      </c>
      <c r="AU78" s="69">
        <v>43840</v>
      </c>
      <c r="AV78">
        <v>366215</v>
      </c>
      <c r="AW78">
        <v>783033</v>
      </c>
      <c r="AX78">
        <v>293007</v>
      </c>
    </row>
    <row r="79" spans="1:50" ht="14.5" x14ac:dyDescent="0.35">
      <c r="A79" s="68" t="s">
        <v>153</v>
      </c>
      <c r="B79" s="68" t="str">
        <f>VLOOKUP(Tabelle_Abfrage_von_MS_Access_Database[[#This Row],[LAND]],Texte!$A$4:$C$261,Texte!$A$1+1,FALSE)</f>
        <v>Guinea</v>
      </c>
      <c r="C79" s="68" t="s">
        <v>508</v>
      </c>
      <c r="D79" s="68" t="s">
        <v>557</v>
      </c>
      <c r="E79" s="69">
        <v>175000</v>
      </c>
      <c r="F79" s="69">
        <v>201000</v>
      </c>
      <c r="G79" s="69">
        <v>3284000</v>
      </c>
      <c r="H79" s="69">
        <v>684000</v>
      </c>
      <c r="I79" s="69">
        <v>401000</v>
      </c>
      <c r="J79" s="69">
        <v>1165000</v>
      </c>
      <c r="K79" s="69">
        <v>835000</v>
      </c>
      <c r="L79" s="69">
        <v>444000</v>
      </c>
      <c r="M79" s="69">
        <v>216000</v>
      </c>
      <c r="N79" s="69">
        <v>260000</v>
      </c>
      <c r="O79" s="69">
        <v>1887000</v>
      </c>
      <c r="P79" s="69">
        <v>397000</v>
      </c>
      <c r="Q79" s="69">
        <v>1258000</v>
      </c>
      <c r="R79" s="69">
        <v>1693000</v>
      </c>
      <c r="S79" s="69">
        <v>1513000</v>
      </c>
      <c r="T79" s="69">
        <v>779000</v>
      </c>
      <c r="U79" s="69">
        <v>8572000</v>
      </c>
      <c r="V79" s="69">
        <v>10357113</v>
      </c>
      <c r="W79" s="69">
        <v>9112083</v>
      </c>
      <c r="X79" s="69">
        <v>8932726</v>
      </c>
      <c r="Y79" s="69">
        <v>11002010</v>
      </c>
      <c r="Z79" s="69">
        <v>15690569</v>
      </c>
      <c r="AA79" s="69">
        <v>17511609</v>
      </c>
      <c r="AB79" s="69">
        <v>19484321</v>
      </c>
      <c r="AC79" s="69">
        <v>24612134</v>
      </c>
      <c r="AD79" s="69">
        <v>19608896</v>
      </c>
      <c r="AE79" s="69">
        <v>13433909</v>
      </c>
      <c r="AF79" s="69">
        <v>7213692</v>
      </c>
      <c r="AG79" s="69">
        <v>13802892</v>
      </c>
      <c r="AH79" s="69">
        <v>9741066</v>
      </c>
      <c r="AI79" s="69">
        <v>14025322</v>
      </c>
      <c r="AJ79" s="69">
        <v>15087005</v>
      </c>
      <c r="AK79" s="69">
        <v>1463337</v>
      </c>
      <c r="AL79" s="69">
        <v>359312</v>
      </c>
      <c r="AM79" s="69">
        <v>376439</v>
      </c>
      <c r="AN79" s="69">
        <v>783368</v>
      </c>
      <c r="AO79" s="69">
        <v>385350</v>
      </c>
      <c r="AP79" s="69">
        <v>771951</v>
      </c>
      <c r="AQ79" s="69">
        <v>2921076</v>
      </c>
      <c r="AR79" s="69">
        <v>6491183</v>
      </c>
      <c r="AS79" s="69">
        <v>2468524</v>
      </c>
      <c r="AT79" s="69">
        <v>6068720</v>
      </c>
      <c r="AU79" s="69">
        <v>3568741</v>
      </c>
      <c r="AV79">
        <v>3201923</v>
      </c>
      <c r="AW79">
        <v>2550889</v>
      </c>
      <c r="AX79">
        <v>2002865</v>
      </c>
    </row>
    <row r="80" spans="1:50" ht="14.5" x14ac:dyDescent="0.35">
      <c r="A80" s="68" t="s">
        <v>155</v>
      </c>
      <c r="B80" s="68" t="str">
        <f>VLOOKUP(Tabelle_Abfrage_von_MS_Access_Database[[#This Row],[LAND]],Texte!$A$4:$C$261,Texte!$A$1+1,FALSE)</f>
        <v>Sierra Leone</v>
      </c>
      <c r="C80" s="68" t="s">
        <v>508</v>
      </c>
      <c r="D80" s="68" t="s">
        <v>557</v>
      </c>
      <c r="E80" s="69">
        <v>838000</v>
      </c>
      <c r="F80" s="69">
        <v>853000</v>
      </c>
      <c r="G80" s="69">
        <v>667000</v>
      </c>
      <c r="H80" s="69">
        <v>3795000</v>
      </c>
      <c r="I80" s="69">
        <v>4469000</v>
      </c>
      <c r="J80" s="69">
        <v>1673000</v>
      </c>
      <c r="K80" s="69">
        <v>3288000</v>
      </c>
      <c r="L80" s="69">
        <v>614000</v>
      </c>
      <c r="M80" s="69">
        <v>438000</v>
      </c>
      <c r="N80" s="69">
        <v>199000</v>
      </c>
      <c r="O80" s="69">
        <v>490000</v>
      </c>
      <c r="P80" s="69">
        <v>209000</v>
      </c>
      <c r="Q80" s="69">
        <v>433000</v>
      </c>
      <c r="R80" s="69">
        <v>345000</v>
      </c>
      <c r="S80" s="69">
        <v>1131000</v>
      </c>
      <c r="T80" s="69">
        <v>281000</v>
      </c>
      <c r="U80" s="69">
        <v>160000</v>
      </c>
      <c r="V80" s="69">
        <v>3635601</v>
      </c>
      <c r="W80" s="69">
        <v>1657379</v>
      </c>
      <c r="X80" s="69">
        <v>1488053</v>
      </c>
      <c r="Y80" s="69">
        <v>212496</v>
      </c>
      <c r="Z80" s="69">
        <v>1078474</v>
      </c>
      <c r="AA80" s="69">
        <v>4251214</v>
      </c>
      <c r="AB80" s="69">
        <v>2239069</v>
      </c>
      <c r="AC80" s="69">
        <v>7466694</v>
      </c>
      <c r="AD80" s="69">
        <v>5958864</v>
      </c>
      <c r="AE80" s="69">
        <v>1166383</v>
      </c>
      <c r="AF80" s="69">
        <v>289529</v>
      </c>
      <c r="AG80" s="69">
        <v>312807</v>
      </c>
      <c r="AH80" s="69">
        <v>384854</v>
      </c>
      <c r="AI80" s="69">
        <v>2067394</v>
      </c>
      <c r="AJ80" s="69">
        <v>1266258</v>
      </c>
      <c r="AK80" s="69">
        <v>686375</v>
      </c>
      <c r="AL80" s="69">
        <v>401542</v>
      </c>
      <c r="AM80" s="69">
        <v>776358</v>
      </c>
      <c r="AN80" s="69">
        <v>495324</v>
      </c>
      <c r="AO80" s="69">
        <v>3448755</v>
      </c>
      <c r="AP80" s="69">
        <v>1587779</v>
      </c>
      <c r="AQ80" s="69">
        <v>1465664</v>
      </c>
      <c r="AR80" s="69">
        <v>764092</v>
      </c>
      <c r="AS80" s="69">
        <v>708713</v>
      </c>
      <c r="AT80" s="69">
        <v>947303</v>
      </c>
      <c r="AU80" s="69">
        <v>484531</v>
      </c>
      <c r="AV80">
        <v>793970</v>
      </c>
      <c r="AW80">
        <v>1014390</v>
      </c>
      <c r="AX80">
        <v>1043923</v>
      </c>
    </row>
    <row r="81" spans="1:50" ht="14.5" x14ac:dyDescent="0.35">
      <c r="A81" s="68" t="s">
        <v>157</v>
      </c>
      <c r="B81" s="68" t="str">
        <f>VLOOKUP(Tabelle_Abfrage_von_MS_Access_Database[[#This Row],[LAND]],Texte!$A$4:$C$261,Texte!$A$1+1,FALSE)</f>
        <v>Liberia</v>
      </c>
      <c r="C81" s="68" t="s">
        <v>508</v>
      </c>
      <c r="D81" s="68" t="s">
        <v>557</v>
      </c>
      <c r="E81" s="69">
        <v>1703000</v>
      </c>
      <c r="F81" s="69">
        <v>1544000</v>
      </c>
      <c r="G81" s="69">
        <v>1150000</v>
      </c>
      <c r="H81" s="69">
        <v>665000</v>
      </c>
      <c r="I81" s="69">
        <v>385000</v>
      </c>
      <c r="J81" s="69">
        <v>514000</v>
      </c>
      <c r="K81" s="69">
        <v>326000</v>
      </c>
      <c r="L81" s="69">
        <v>838000</v>
      </c>
      <c r="M81" s="69">
        <v>369000</v>
      </c>
      <c r="N81" s="69">
        <v>424000</v>
      </c>
      <c r="O81" s="69">
        <v>264000</v>
      </c>
      <c r="P81" s="69">
        <v>797000</v>
      </c>
      <c r="Q81" s="69">
        <v>329000</v>
      </c>
      <c r="R81" s="69">
        <v>30000</v>
      </c>
      <c r="S81" s="69">
        <v>153000</v>
      </c>
      <c r="T81" s="69">
        <v>198000</v>
      </c>
      <c r="U81" s="69">
        <v>478000</v>
      </c>
      <c r="V81" s="69">
        <v>1158986</v>
      </c>
      <c r="W81" s="69">
        <v>523026</v>
      </c>
      <c r="X81" s="69">
        <v>388946</v>
      </c>
      <c r="Y81" s="69">
        <v>1029338</v>
      </c>
      <c r="Z81" s="69">
        <v>501298</v>
      </c>
      <c r="AA81" s="69">
        <v>565104</v>
      </c>
      <c r="AB81" s="69">
        <v>630808</v>
      </c>
      <c r="AC81" s="69">
        <v>266393</v>
      </c>
      <c r="AD81" s="69">
        <v>352210</v>
      </c>
      <c r="AE81" s="69">
        <v>1645602</v>
      </c>
      <c r="AF81" s="69">
        <v>1797672</v>
      </c>
      <c r="AG81" s="69">
        <v>1243654</v>
      </c>
      <c r="AH81" s="69">
        <v>2332514</v>
      </c>
      <c r="AI81" s="69">
        <v>1651166</v>
      </c>
      <c r="AJ81" s="69">
        <v>2700868</v>
      </c>
      <c r="AK81" s="69">
        <v>1337953</v>
      </c>
      <c r="AL81" s="69">
        <v>3980039</v>
      </c>
      <c r="AM81" s="69">
        <v>1527630</v>
      </c>
      <c r="AN81" s="69">
        <v>1528041</v>
      </c>
      <c r="AO81" s="69">
        <v>1400861</v>
      </c>
      <c r="AP81" s="69">
        <v>3691057</v>
      </c>
      <c r="AQ81" s="69">
        <v>3349556</v>
      </c>
      <c r="AR81" s="69">
        <v>2137015</v>
      </c>
      <c r="AS81" s="69">
        <v>2940239</v>
      </c>
      <c r="AT81" s="69">
        <v>1607654</v>
      </c>
      <c r="AU81" s="69">
        <v>1882956</v>
      </c>
      <c r="AV81">
        <v>2731165</v>
      </c>
      <c r="AW81">
        <v>1219256</v>
      </c>
      <c r="AX81">
        <v>2726815</v>
      </c>
    </row>
    <row r="82" spans="1:50" ht="14.5" x14ac:dyDescent="0.35">
      <c r="A82" s="68" t="s">
        <v>159</v>
      </c>
      <c r="B82" s="68" t="str">
        <f>VLOOKUP(Tabelle_Abfrage_von_MS_Access_Database[[#This Row],[LAND]],Texte!$A$4:$C$261,Texte!$A$1+1,FALSE)</f>
        <v>Elfenbeinküste</v>
      </c>
      <c r="C82" s="68" t="s">
        <v>508</v>
      </c>
      <c r="D82" s="68" t="s">
        <v>557</v>
      </c>
      <c r="E82" s="69">
        <v>17218000</v>
      </c>
      <c r="F82" s="69">
        <v>9643000</v>
      </c>
      <c r="G82" s="69">
        <v>4023000</v>
      </c>
      <c r="H82" s="69">
        <v>3725000</v>
      </c>
      <c r="I82" s="69">
        <v>4956000</v>
      </c>
      <c r="J82" s="69">
        <v>2697000</v>
      </c>
      <c r="K82" s="69">
        <v>2822000</v>
      </c>
      <c r="L82" s="69">
        <v>5428000</v>
      </c>
      <c r="M82" s="69">
        <v>4367000</v>
      </c>
      <c r="N82" s="69">
        <v>3768000</v>
      </c>
      <c r="O82" s="69">
        <v>5185000</v>
      </c>
      <c r="P82" s="69">
        <v>5590000</v>
      </c>
      <c r="Q82" s="69">
        <v>4996000</v>
      </c>
      <c r="R82" s="69">
        <v>3646000</v>
      </c>
      <c r="S82" s="69">
        <v>3089000</v>
      </c>
      <c r="T82" s="69">
        <v>2433000</v>
      </c>
      <c r="U82" s="69">
        <v>2255000</v>
      </c>
      <c r="V82" s="69">
        <v>5814190</v>
      </c>
      <c r="W82" s="69">
        <v>3144766</v>
      </c>
      <c r="X82" s="69">
        <v>3458504</v>
      </c>
      <c r="Y82" s="69">
        <v>5553368</v>
      </c>
      <c r="Z82" s="69">
        <v>2620001</v>
      </c>
      <c r="AA82" s="69">
        <v>4167125</v>
      </c>
      <c r="AB82" s="69">
        <v>7368291</v>
      </c>
      <c r="AC82" s="69">
        <v>7238626</v>
      </c>
      <c r="AD82" s="69">
        <v>4231158</v>
      </c>
      <c r="AE82" s="69">
        <v>5651133</v>
      </c>
      <c r="AF82" s="69">
        <v>3441474</v>
      </c>
      <c r="AG82" s="69">
        <v>5055649</v>
      </c>
      <c r="AH82" s="69">
        <v>6639406</v>
      </c>
      <c r="AI82" s="69">
        <v>8427580</v>
      </c>
      <c r="AJ82" s="69">
        <v>6255583</v>
      </c>
      <c r="AK82" s="69">
        <v>6165252</v>
      </c>
      <c r="AL82" s="69">
        <v>6477050</v>
      </c>
      <c r="AM82" s="69">
        <v>13938844</v>
      </c>
      <c r="AN82" s="69">
        <v>10456153</v>
      </c>
      <c r="AO82" s="69">
        <v>16762414</v>
      </c>
      <c r="AP82" s="69">
        <v>19400512</v>
      </c>
      <c r="AQ82" s="69">
        <v>22106925</v>
      </c>
      <c r="AR82" s="69">
        <v>20213460</v>
      </c>
      <c r="AS82" s="69">
        <v>21100948</v>
      </c>
      <c r="AT82" s="69">
        <v>29185591</v>
      </c>
      <c r="AU82" s="69">
        <v>28762394</v>
      </c>
      <c r="AV82">
        <v>34978161</v>
      </c>
      <c r="AW82">
        <v>44548244</v>
      </c>
      <c r="AX82">
        <v>39801171</v>
      </c>
    </row>
    <row r="83" spans="1:50" ht="14.5" x14ac:dyDescent="0.35">
      <c r="A83" s="68" t="s">
        <v>161</v>
      </c>
      <c r="B83" s="68" t="str">
        <f>VLOOKUP(Tabelle_Abfrage_von_MS_Access_Database[[#This Row],[LAND]],Texte!$A$4:$C$261,Texte!$A$1+1,FALSE)</f>
        <v>Ghana</v>
      </c>
      <c r="C83" s="68" t="s">
        <v>508</v>
      </c>
      <c r="D83" s="68" t="s">
        <v>557</v>
      </c>
      <c r="E83" s="69">
        <v>11536000</v>
      </c>
      <c r="F83" s="69">
        <v>10285000</v>
      </c>
      <c r="G83" s="69">
        <v>1319000</v>
      </c>
      <c r="H83" s="69">
        <v>2624000</v>
      </c>
      <c r="I83" s="69">
        <v>1200000</v>
      </c>
      <c r="J83" s="69">
        <v>2033000</v>
      </c>
      <c r="K83" s="69">
        <v>2259000</v>
      </c>
      <c r="L83" s="69">
        <v>4011000</v>
      </c>
      <c r="M83" s="69">
        <v>11867000</v>
      </c>
      <c r="N83" s="69">
        <v>5406000</v>
      </c>
      <c r="O83" s="69">
        <v>990000</v>
      </c>
      <c r="P83" s="69">
        <v>6166000</v>
      </c>
      <c r="Q83" s="69">
        <v>6009000</v>
      </c>
      <c r="R83" s="69">
        <v>2855000</v>
      </c>
      <c r="S83" s="69">
        <v>2956000</v>
      </c>
      <c r="T83" s="69">
        <v>2785000</v>
      </c>
      <c r="U83" s="69">
        <v>3298000</v>
      </c>
      <c r="V83" s="69">
        <v>4671778</v>
      </c>
      <c r="W83" s="69">
        <v>12388975</v>
      </c>
      <c r="X83" s="69">
        <v>7777011</v>
      </c>
      <c r="Y83" s="69">
        <v>5498640</v>
      </c>
      <c r="Z83" s="69">
        <v>6200157</v>
      </c>
      <c r="AA83" s="69">
        <v>8941741</v>
      </c>
      <c r="AB83" s="69">
        <v>20042422</v>
      </c>
      <c r="AC83" s="69">
        <v>13087831</v>
      </c>
      <c r="AD83" s="69">
        <v>7382428</v>
      </c>
      <c r="AE83" s="69">
        <v>42612507</v>
      </c>
      <c r="AF83" s="69">
        <v>7008266</v>
      </c>
      <c r="AG83" s="69">
        <v>8594366</v>
      </c>
      <c r="AH83" s="69">
        <v>11258499</v>
      </c>
      <c r="AI83" s="69">
        <v>8336280</v>
      </c>
      <c r="AJ83" s="69">
        <v>10782141</v>
      </c>
      <c r="AK83" s="69">
        <v>17136111</v>
      </c>
      <c r="AL83" s="69">
        <v>28031409</v>
      </c>
      <c r="AM83" s="69">
        <v>17980280</v>
      </c>
      <c r="AN83" s="69">
        <v>27520623</v>
      </c>
      <c r="AO83" s="69">
        <v>26022567</v>
      </c>
      <c r="AP83" s="69">
        <v>22095560</v>
      </c>
      <c r="AQ83" s="69">
        <v>18378415</v>
      </c>
      <c r="AR83" s="69">
        <v>19839005</v>
      </c>
      <c r="AS83" s="69">
        <v>20811927</v>
      </c>
      <c r="AT83" s="69">
        <v>15174017</v>
      </c>
      <c r="AU83" s="69">
        <v>24983624</v>
      </c>
      <c r="AV83">
        <v>12932125</v>
      </c>
      <c r="AW83">
        <v>26275751</v>
      </c>
      <c r="AX83">
        <v>19096879</v>
      </c>
    </row>
    <row r="84" spans="1:50" ht="14.5" x14ac:dyDescent="0.35">
      <c r="A84" s="68" t="s">
        <v>163</v>
      </c>
      <c r="B84" s="68" t="str">
        <f>VLOOKUP(Tabelle_Abfrage_von_MS_Access_Database[[#This Row],[LAND]],Texte!$A$4:$C$261,Texte!$A$1+1,FALSE)</f>
        <v>Togo</v>
      </c>
      <c r="C84" s="68" t="s">
        <v>508</v>
      </c>
      <c r="D84" s="68" t="s">
        <v>557</v>
      </c>
      <c r="E84" s="69">
        <v>10417000</v>
      </c>
      <c r="F84" s="69">
        <v>12735000</v>
      </c>
      <c r="G84" s="69">
        <v>11734000</v>
      </c>
      <c r="H84" s="69">
        <v>5780000</v>
      </c>
      <c r="I84" s="69">
        <v>3326000</v>
      </c>
      <c r="J84" s="69">
        <v>1629000</v>
      </c>
      <c r="K84" s="69">
        <v>1989000</v>
      </c>
      <c r="L84" s="69">
        <v>2119000</v>
      </c>
      <c r="M84" s="69">
        <v>2714000</v>
      </c>
      <c r="N84" s="69">
        <v>1679000</v>
      </c>
      <c r="O84" s="69">
        <v>1861000</v>
      </c>
      <c r="P84" s="69">
        <v>1848000</v>
      </c>
      <c r="Q84" s="69">
        <v>2634000</v>
      </c>
      <c r="R84" s="69">
        <v>2075000</v>
      </c>
      <c r="S84" s="69">
        <v>1671000</v>
      </c>
      <c r="T84" s="69">
        <v>688000</v>
      </c>
      <c r="U84" s="69">
        <v>1050000</v>
      </c>
      <c r="V84" s="69">
        <v>1004556</v>
      </c>
      <c r="W84" s="69">
        <v>532545</v>
      </c>
      <c r="X84" s="69">
        <v>524989</v>
      </c>
      <c r="Y84" s="69">
        <v>873820</v>
      </c>
      <c r="Z84" s="69">
        <v>1260441</v>
      </c>
      <c r="AA84" s="69">
        <v>2119941</v>
      </c>
      <c r="AB84" s="69">
        <v>1134771</v>
      </c>
      <c r="AC84" s="69">
        <v>2178916</v>
      </c>
      <c r="AD84" s="69">
        <v>1983260</v>
      </c>
      <c r="AE84" s="69">
        <v>1299429</v>
      </c>
      <c r="AF84" s="69">
        <v>1999281</v>
      </c>
      <c r="AG84" s="69">
        <v>3877760</v>
      </c>
      <c r="AH84" s="69">
        <v>1951846</v>
      </c>
      <c r="AI84" s="69">
        <v>1606006</v>
      </c>
      <c r="AJ84" s="69">
        <v>1669913</v>
      </c>
      <c r="AK84" s="69">
        <v>2694791</v>
      </c>
      <c r="AL84" s="69">
        <v>3062321</v>
      </c>
      <c r="AM84" s="69">
        <v>1750891</v>
      </c>
      <c r="AN84" s="69">
        <v>2028368</v>
      </c>
      <c r="AO84" s="69">
        <v>1737422</v>
      </c>
      <c r="AP84" s="69">
        <v>1599754</v>
      </c>
      <c r="AQ84" s="69">
        <v>1350038</v>
      </c>
      <c r="AR84" s="69">
        <v>1503599</v>
      </c>
      <c r="AS84" s="69">
        <v>2070539</v>
      </c>
      <c r="AT84" s="69">
        <v>1580448</v>
      </c>
      <c r="AU84" s="69">
        <v>3797723</v>
      </c>
      <c r="AV84">
        <v>2505428</v>
      </c>
      <c r="AW84">
        <v>1906392</v>
      </c>
      <c r="AX84">
        <v>4533439</v>
      </c>
    </row>
    <row r="85" spans="1:50" ht="14.5" x14ac:dyDescent="0.35">
      <c r="A85" s="68" t="s">
        <v>165</v>
      </c>
      <c r="B85" s="68" t="str">
        <f>VLOOKUP(Tabelle_Abfrage_von_MS_Access_Database[[#This Row],[LAND]],Texte!$A$4:$C$261,Texte!$A$1+1,FALSE)</f>
        <v>Benin</v>
      </c>
      <c r="C85" s="68" t="s">
        <v>508</v>
      </c>
      <c r="D85" s="68" t="s">
        <v>557</v>
      </c>
      <c r="E85" s="69">
        <v>33784000</v>
      </c>
      <c r="F85" s="69">
        <v>44002000</v>
      </c>
      <c r="G85" s="69">
        <v>91064000</v>
      </c>
      <c r="H85" s="69">
        <v>190748000</v>
      </c>
      <c r="I85" s="69">
        <v>207898000</v>
      </c>
      <c r="J85" s="69">
        <v>110420000</v>
      </c>
      <c r="K85" s="69">
        <v>41491000</v>
      </c>
      <c r="L85" s="69">
        <v>36317000</v>
      </c>
      <c r="M85" s="69">
        <v>16587000</v>
      </c>
      <c r="N85" s="69">
        <v>7900000</v>
      </c>
      <c r="O85" s="69">
        <v>8038000</v>
      </c>
      <c r="P85" s="69">
        <v>8491000</v>
      </c>
      <c r="Q85" s="69">
        <v>7520000</v>
      </c>
      <c r="R85" s="69">
        <v>7049000</v>
      </c>
      <c r="S85" s="69">
        <v>5586000</v>
      </c>
      <c r="T85" s="69">
        <v>6567000</v>
      </c>
      <c r="U85" s="69">
        <v>3616000</v>
      </c>
      <c r="V85" s="69">
        <v>5376118</v>
      </c>
      <c r="W85" s="69">
        <v>5067622</v>
      </c>
      <c r="X85" s="69">
        <v>6516354</v>
      </c>
      <c r="Y85" s="69">
        <v>4973294</v>
      </c>
      <c r="Z85" s="69">
        <v>5092550</v>
      </c>
      <c r="AA85" s="69">
        <v>5228376</v>
      </c>
      <c r="AB85" s="69">
        <v>6809757</v>
      </c>
      <c r="AC85" s="69">
        <v>4206982</v>
      </c>
      <c r="AD85" s="69">
        <v>3215852</v>
      </c>
      <c r="AE85" s="69">
        <v>3494650</v>
      </c>
      <c r="AF85" s="69">
        <v>2685152</v>
      </c>
      <c r="AG85" s="69">
        <v>2052204</v>
      </c>
      <c r="AH85" s="69">
        <v>3242911</v>
      </c>
      <c r="AI85" s="69">
        <v>4703328</v>
      </c>
      <c r="AJ85" s="69">
        <v>6825611</v>
      </c>
      <c r="AK85" s="69">
        <v>5787696</v>
      </c>
      <c r="AL85" s="69">
        <v>7107178</v>
      </c>
      <c r="AM85" s="69">
        <v>5159207</v>
      </c>
      <c r="AN85" s="69">
        <v>8108365</v>
      </c>
      <c r="AO85" s="69">
        <v>13384068</v>
      </c>
      <c r="AP85" s="69">
        <v>16960732</v>
      </c>
      <c r="AQ85" s="69">
        <v>13435770</v>
      </c>
      <c r="AR85" s="69">
        <v>12077709</v>
      </c>
      <c r="AS85" s="69">
        <v>13502451</v>
      </c>
      <c r="AT85" s="69">
        <v>9577010</v>
      </c>
      <c r="AU85" s="69">
        <v>10092952</v>
      </c>
      <c r="AV85">
        <v>4070253</v>
      </c>
      <c r="AW85">
        <v>7780938</v>
      </c>
      <c r="AX85">
        <v>6323966</v>
      </c>
    </row>
    <row r="86" spans="1:50" ht="14.5" x14ac:dyDescent="0.35">
      <c r="A86" s="68" t="s">
        <v>167</v>
      </c>
      <c r="B86" s="68" t="str">
        <f>VLOOKUP(Tabelle_Abfrage_von_MS_Access_Database[[#This Row],[LAND]],Texte!$A$4:$C$261,Texte!$A$1+1,FALSE)</f>
        <v>Nigeria</v>
      </c>
      <c r="C86" s="68" t="s">
        <v>508</v>
      </c>
      <c r="D86" s="68" t="s">
        <v>557</v>
      </c>
      <c r="E86" s="69">
        <v>65765000</v>
      </c>
      <c r="F86" s="69">
        <v>63816000</v>
      </c>
      <c r="G86" s="69">
        <v>161910000</v>
      </c>
      <c r="H86" s="69">
        <v>169982000</v>
      </c>
      <c r="I86" s="69">
        <v>127929000</v>
      </c>
      <c r="J86" s="69">
        <v>73993000</v>
      </c>
      <c r="K86" s="69">
        <v>64022000</v>
      </c>
      <c r="L86" s="69">
        <v>121431000</v>
      </c>
      <c r="M86" s="69">
        <v>48388000</v>
      </c>
      <c r="N86" s="69">
        <v>73969000</v>
      </c>
      <c r="O86" s="69">
        <v>35317000</v>
      </c>
      <c r="P86" s="69">
        <v>69491000</v>
      </c>
      <c r="Q86" s="69">
        <v>77373000</v>
      </c>
      <c r="R86" s="69">
        <v>108401000</v>
      </c>
      <c r="S86" s="69">
        <v>52640000</v>
      </c>
      <c r="T86" s="69">
        <v>54316000</v>
      </c>
      <c r="U86" s="69">
        <v>32683000</v>
      </c>
      <c r="V86" s="69">
        <v>37341547</v>
      </c>
      <c r="W86" s="69">
        <v>24663924</v>
      </c>
      <c r="X86" s="69">
        <v>36028635</v>
      </c>
      <c r="Y86" s="69">
        <v>39905458</v>
      </c>
      <c r="Z86" s="69">
        <v>31163635</v>
      </c>
      <c r="AA86" s="69">
        <v>53971058</v>
      </c>
      <c r="AB86" s="69">
        <v>81491118</v>
      </c>
      <c r="AC86" s="69">
        <v>87713537</v>
      </c>
      <c r="AD86" s="69">
        <v>84194847</v>
      </c>
      <c r="AE86" s="69">
        <v>97374963</v>
      </c>
      <c r="AF86" s="69">
        <v>99476052</v>
      </c>
      <c r="AG86" s="69">
        <v>93431241</v>
      </c>
      <c r="AH86" s="69">
        <v>162597141</v>
      </c>
      <c r="AI86" s="69">
        <v>167502432</v>
      </c>
      <c r="AJ86" s="69">
        <v>97417907</v>
      </c>
      <c r="AK86" s="69">
        <v>96949933</v>
      </c>
      <c r="AL86" s="69">
        <v>105292973</v>
      </c>
      <c r="AM86" s="69">
        <v>114529817</v>
      </c>
      <c r="AN86" s="69">
        <v>129342606</v>
      </c>
      <c r="AO86" s="69">
        <v>143466045</v>
      </c>
      <c r="AP86" s="69">
        <v>101854718</v>
      </c>
      <c r="AQ86" s="69">
        <v>67526426</v>
      </c>
      <c r="AR86" s="69">
        <v>78689174</v>
      </c>
      <c r="AS86" s="69">
        <v>66428364</v>
      </c>
      <c r="AT86" s="69">
        <v>103872430</v>
      </c>
      <c r="AU86" s="69">
        <v>74101915</v>
      </c>
      <c r="AV86">
        <v>114851626</v>
      </c>
      <c r="AW86">
        <v>133928422</v>
      </c>
      <c r="AX86">
        <v>120072774</v>
      </c>
    </row>
    <row r="87" spans="1:50" ht="14.5" x14ac:dyDescent="0.35">
      <c r="A87" s="68" t="s">
        <v>169</v>
      </c>
      <c r="B87" s="68" t="str">
        <f>VLOOKUP(Tabelle_Abfrage_von_MS_Access_Database[[#This Row],[LAND]],Texte!$A$4:$C$261,Texte!$A$1+1,FALSE)</f>
        <v>Kamerun</v>
      </c>
      <c r="C87" s="68" t="s">
        <v>508</v>
      </c>
      <c r="D87" s="68" t="s">
        <v>557</v>
      </c>
      <c r="E87" s="69">
        <v>14072000</v>
      </c>
      <c r="F87" s="69">
        <v>4300000</v>
      </c>
      <c r="G87" s="69">
        <v>4659000</v>
      </c>
      <c r="H87" s="69">
        <v>9122000</v>
      </c>
      <c r="I87" s="69">
        <v>5315000</v>
      </c>
      <c r="J87" s="69">
        <v>4226000</v>
      </c>
      <c r="K87" s="69">
        <v>2446000</v>
      </c>
      <c r="L87" s="69">
        <v>9652000</v>
      </c>
      <c r="M87" s="69">
        <v>4423000</v>
      </c>
      <c r="N87" s="69">
        <v>6615000</v>
      </c>
      <c r="O87" s="69">
        <v>5493000</v>
      </c>
      <c r="P87" s="69">
        <v>10929000</v>
      </c>
      <c r="Q87" s="69">
        <v>10197000</v>
      </c>
      <c r="R87" s="69">
        <v>2960000</v>
      </c>
      <c r="S87" s="69">
        <v>2593000</v>
      </c>
      <c r="T87" s="69">
        <v>3271000</v>
      </c>
      <c r="U87" s="69">
        <v>1662000</v>
      </c>
      <c r="V87" s="69">
        <v>1559560</v>
      </c>
      <c r="W87" s="69">
        <v>1925826</v>
      </c>
      <c r="X87" s="69">
        <v>2860839</v>
      </c>
      <c r="Y87" s="69">
        <v>2233162</v>
      </c>
      <c r="Z87" s="69">
        <v>1921980</v>
      </c>
      <c r="AA87" s="69">
        <v>1484635</v>
      </c>
      <c r="AB87" s="69">
        <v>2945672</v>
      </c>
      <c r="AC87" s="69">
        <v>3670080</v>
      </c>
      <c r="AD87" s="69">
        <v>3079343</v>
      </c>
      <c r="AE87" s="69">
        <v>1840843</v>
      </c>
      <c r="AF87" s="69">
        <v>1052232</v>
      </c>
      <c r="AG87" s="69">
        <v>1578805</v>
      </c>
      <c r="AH87" s="69">
        <v>4026056</v>
      </c>
      <c r="AI87" s="69">
        <v>7801337</v>
      </c>
      <c r="AJ87" s="69">
        <v>7034479</v>
      </c>
      <c r="AK87" s="69">
        <v>18318066</v>
      </c>
      <c r="AL87" s="69">
        <v>7881171</v>
      </c>
      <c r="AM87" s="69">
        <v>3756390</v>
      </c>
      <c r="AN87" s="69">
        <v>2758304</v>
      </c>
      <c r="AO87" s="69">
        <v>8873775</v>
      </c>
      <c r="AP87" s="69">
        <v>5227335</v>
      </c>
      <c r="AQ87" s="69">
        <v>5254394</v>
      </c>
      <c r="AR87" s="69">
        <v>3337525</v>
      </c>
      <c r="AS87" s="69">
        <v>8335843</v>
      </c>
      <c r="AT87" s="69">
        <v>5823305</v>
      </c>
      <c r="AU87" s="69">
        <v>11190359</v>
      </c>
      <c r="AV87">
        <v>6109421</v>
      </c>
      <c r="AW87">
        <v>5143593</v>
      </c>
      <c r="AX87">
        <v>9158315</v>
      </c>
    </row>
    <row r="88" spans="1:50" ht="14.5" x14ac:dyDescent="0.35">
      <c r="A88" s="68" t="s">
        <v>171</v>
      </c>
      <c r="B88" s="68" t="str">
        <f>VLOOKUP(Tabelle_Abfrage_von_MS_Access_Database[[#This Row],[LAND]],Texte!$A$4:$C$261,Texte!$A$1+1,FALSE)</f>
        <v>Zentralafrikan.Republik</v>
      </c>
      <c r="C88" s="68" t="s">
        <v>508</v>
      </c>
      <c r="D88" s="68" t="s">
        <v>557</v>
      </c>
      <c r="E88" s="69">
        <v>28000</v>
      </c>
      <c r="F88" s="69">
        <v>28000</v>
      </c>
      <c r="G88" s="69">
        <v>38000</v>
      </c>
      <c r="H88" s="69">
        <v>283000</v>
      </c>
      <c r="I88" s="69">
        <v>32000</v>
      </c>
      <c r="J88" s="69">
        <v>81000</v>
      </c>
      <c r="K88" s="69">
        <v>99000</v>
      </c>
      <c r="L88" s="69">
        <v>97000</v>
      </c>
      <c r="M88" s="69">
        <v>164000</v>
      </c>
      <c r="N88" s="69">
        <v>398000</v>
      </c>
      <c r="O88" s="69">
        <v>703000</v>
      </c>
      <c r="P88" s="69">
        <v>229000</v>
      </c>
      <c r="Q88" s="69">
        <v>570000</v>
      </c>
      <c r="R88" s="69">
        <v>179000</v>
      </c>
      <c r="S88" s="69">
        <v>10000</v>
      </c>
      <c r="T88" s="69">
        <v>21000</v>
      </c>
      <c r="U88" s="69">
        <v>14000</v>
      </c>
      <c r="V88" s="69">
        <v>328262</v>
      </c>
      <c r="W88" s="69">
        <v>122381</v>
      </c>
      <c r="X88" s="69">
        <v>259733</v>
      </c>
      <c r="Y88" s="69">
        <v>8357</v>
      </c>
      <c r="Z88" s="69">
        <v>122599</v>
      </c>
      <c r="AA88" s="69">
        <v>52832</v>
      </c>
      <c r="AB88" s="69">
        <v>117972</v>
      </c>
      <c r="AC88" s="69">
        <v>93061</v>
      </c>
      <c r="AD88" s="69">
        <v>83734</v>
      </c>
      <c r="AE88" s="69">
        <v>38222</v>
      </c>
      <c r="AF88" s="69">
        <v>75056</v>
      </c>
      <c r="AG88" s="69">
        <v>71151</v>
      </c>
      <c r="AH88" s="69">
        <v>674889</v>
      </c>
      <c r="AI88" s="69">
        <v>306448</v>
      </c>
      <c r="AJ88" s="69">
        <v>63274</v>
      </c>
      <c r="AK88" s="69">
        <v>114121</v>
      </c>
      <c r="AL88" s="69">
        <v>82199</v>
      </c>
      <c r="AM88" s="69">
        <v>28703</v>
      </c>
      <c r="AN88" s="69">
        <v>94234</v>
      </c>
      <c r="AO88" s="69">
        <v>65801</v>
      </c>
      <c r="AP88" s="69">
        <v>123763</v>
      </c>
      <c r="AQ88" s="69">
        <v>580823</v>
      </c>
      <c r="AR88" s="69">
        <v>463968</v>
      </c>
      <c r="AS88" s="69">
        <v>512145</v>
      </c>
      <c r="AT88" s="69">
        <v>423349</v>
      </c>
      <c r="AU88" s="69">
        <v>428709</v>
      </c>
      <c r="AV88">
        <v>1615998</v>
      </c>
      <c r="AW88">
        <v>109115</v>
      </c>
      <c r="AX88">
        <v>506702</v>
      </c>
    </row>
    <row r="89" spans="1:50" ht="14.5" x14ac:dyDescent="0.35">
      <c r="A89" s="68" t="s">
        <v>173</v>
      </c>
      <c r="B89" s="68" t="str">
        <f>VLOOKUP(Tabelle_Abfrage_von_MS_Access_Database[[#This Row],[LAND]],Texte!$A$4:$C$261,Texte!$A$1+1,FALSE)</f>
        <v>Äquatorialguinea</v>
      </c>
      <c r="C89" s="68" t="s">
        <v>508</v>
      </c>
      <c r="D89" s="68" t="s">
        <v>557</v>
      </c>
      <c r="E89" s="69">
        <v>8000</v>
      </c>
      <c r="F89" s="69">
        <v>8000</v>
      </c>
      <c r="G89" s="69">
        <v>1000</v>
      </c>
      <c r="H89" s="69">
        <v>47000</v>
      </c>
      <c r="I89" s="69">
        <v>11000</v>
      </c>
      <c r="J89" s="69">
        <v>0</v>
      </c>
      <c r="K89" s="69">
        <v>75000</v>
      </c>
      <c r="L89" s="69">
        <v>32000</v>
      </c>
      <c r="M89" s="69">
        <v>65000</v>
      </c>
      <c r="N89" s="69">
        <v>120000</v>
      </c>
      <c r="O89" s="69">
        <v>0</v>
      </c>
      <c r="P89" s="69">
        <v>32000</v>
      </c>
      <c r="Q89" s="69">
        <v>0</v>
      </c>
      <c r="R89" s="69">
        <v>1000</v>
      </c>
      <c r="S89" s="69">
        <v>0</v>
      </c>
      <c r="T89" s="69">
        <v>399000</v>
      </c>
      <c r="U89" s="69">
        <v>0</v>
      </c>
      <c r="V89" s="70"/>
      <c r="W89" s="69">
        <v>16714</v>
      </c>
      <c r="X89" s="69">
        <v>0</v>
      </c>
      <c r="Y89" s="69">
        <v>0</v>
      </c>
      <c r="Z89" s="69">
        <v>0</v>
      </c>
      <c r="AA89" s="69">
        <v>1599</v>
      </c>
      <c r="AB89" s="69">
        <v>5540</v>
      </c>
      <c r="AC89" s="69">
        <v>0</v>
      </c>
      <c r="AD89" s="69">
        <v>16572</v>
      </c>
      <c r="AE89" s="69">
        <v>69760</v>
      </c>
      <c r="AF89" s="69">
        <v>1142178</v>
      </c>
      <c r="AG89" s="69">
        <v>755789</v>
      </c>
      <c r="AH89" s="69">
        <v>1623633</v>
      </c>
      <c r="AI89" s="69">
        <v>1099982</v>
      </c>
      <c r="AJ89" s="69">
        <v>1897040</v>
      </c>
      <c r="AK89" s="69">
        <v>685780</v>
      </c>
      <c r="AL89" s="69">
        <v>970115</v>
      </c>
      <c r="AM89" s="69">
        <v>1035244</v>
      </c>
      <c r="AN89" s="69">
        <v>1818799</v>
      </c>
      <c r="AO89" s="69">
        <v>1401980</v>
      </c>
      <c r="AP89" s="69">
        <v>171331</v>
      </c>
      <c r="AQ89" s="69">
        <v>190543</v>
      </c>
      <c r="AR89" s="69">
        <v>301844</v>
      </c>
      <c r="AS89" s="69">
        <v>754327</v>
      </c>
      <c r="AT89" s="69">
        <v>272612</v>
      </c>
      <c r="AU89" s="69">
        <v>23477</v>
      </c>
      <c r="AV89">
        <v>26479</v>
      </c>
      <c r="AW89">
        <v>86245</v>
      </c>
      <c r="AX89">
        <v>349523</v>
      </c>
    </row>
    <row r="90" spans="1:50" ht="14.5" x14ac:dyDescent="0.35">
      <c r="A90" s="68" t="s">
        <v>175</v>
      </c>
      <c r="B90" s="68" t="str">
        <f>VLOOKUP(Tabelle_Abfrage_von_MS_Access_Database[[#This Row],[LAND]],Texte!$A$4:$C$261,Texte!$A$1+1,FALSE)</f>
        <v>Sao Tome und Principe</v>
      </c>
      <c r="C90" s="68" t="s">
        <v>510</v>
      </c>
      <c r="D90" s="68" t="s">
        <v>557</v>
      </c>
      <c r="E90" s="69">
        <v>0</v>
      </c>
      <c r="F90" s="69">
        <v>0</v>
      </c>
      <c r="G90" s="69">
        <v>180000</v>
      </c>
      <c r="H90" s="69">
        <v>6000</v>
      </c>
      <c r="I90" s="69">
        <v>13000</v>
      </c>
      <c r="J90" s="69">
        <v>13000</v>
      </c>
      <c r="K90" s="69">
        <v>117000</v>
      </c>
      <c r="L90" s="69">
        <v>16000</v>
      </c>
      <c r="M90" s="69">
        <v>123000</v>
      </c>
      <c r="N90" s="69">
        <v>2000</v>
      </c>
      <c r="O90" s="69">
        <v>81000</v>
      </c>
      <c r="P90" s="69">
        <v>0</v>
      </c>
      <c r="Q90" s="69">
        <v>2000</v>
      </c>
      <c r="R90" s="69">
        <v>9000</v>
      </c>
      <c r="S90" s="69">
        <v>109000</v>
      </c>
      <c r="T90" s="69">
        <v>300000</v>
      </c>
      <c r="U90" s="69">
        <v>217000</v>
      </c>
      <c r="V90" s="69">
        <v>321794</v>
      </c>
      <c r="W90" s="69">
        <v>105231</v>
      </c>
      <c r="X90" s="69">
        <v>57775</v>
      </c>
      <c r="Y90" s="69">
        <v>394757</v>
      </c>
      <c r="Z90" s="69">
        <v>70346</v>
      </c>
      <c r="AA90" s="69">
        <v>100217</v>
      </c>
      <c r="AB90" s="69">
        <v>212459</v>
      </c>
      <c r="AC90" s="69">
        <v>61241</v>
      </c>
      <c r="AD90" s="69">
        <v>12703</v>
      </c>
      <c r="AE90" s="69">
        <v>15473</v>
      </c>
      <c r="AF90" s="69">
        <v>1860</v>
      </c>
      <c r="AG90" s="69">
        <v>142162</v>
      </c>
      <c r="AH90" s="69">
        <v>42687</v>
      </c>
      <c r="AI90" s="69">
        <v>17261</v>
      </c>
      <c r="AJ90" s="69">
        <v>14009</v>
      </c>
      <c r="AK90" s="69">
        <v>8184</v>
      </c>
      <c r="AL90" s="69">
        <v>10917</v>
      </c>
      <c r="AM90" s="69">
        <v>8330</v>
      </c>
      <c r="AN90" s="69">
        <v>3837</v>
      </c>
      <c r="AO90" s="69">
        <v>146481</v>
      </c>
      <c r="AP90" s="69">
        <v>74015</v>
      </c>
      <c r="AQ90" s="69">
        <v>268893</v>
      </c>
      <c r="AR90" s="69">
        <v>32711</v>
      </c>
      <c r="AS90" s="69">
        <v>43453</v>
      </c>
      <c r="AT90" s="69">
        <v>7359</v>
      </c>
      <c r="AU90" s="69">
        <v>166982</v>
      </c>
      <c r="AV90">
        <v>58626</v>
      </c>
      <c r="AW90">
        <v>64256</v>
      </c>
      <c r="AX90">
        <v>5601</v>
      </c>
    </row>
    <row r="91" spans="1:50" ht="14.5" x14ac:dyDescent="0.35">
      <c r="A91" s="68" t="s">
        <v>177</v>
      </c>
      <c r="B91" s="68" t="str">
        <f>VLOOKUP(Tabelle_Abfrage_von_MS_Access_Database[[#This Row],[LAND]],Texte!$A$4:$C$261,Texte!$A$1+1,FALSE)</f>
        <v>Gabun</v>
      </c>
      <c r="C91" s="68" t="s">
        <v>508</v>
      </c>
      <c r="D91" s="68" t="s">
        <v>557</v>
      </c>
      <c r="E91" s="69">
        <v>365000</v>
      </c>
      <c r="F91" s="69">
        <v>131000</v>
      </c>
      <c r="G91" s="69">
        <v>405000</v>
      </c>
      <c r="H91" s="69">
        <v>385000</v>
      </c>
      <c r="I91" s="69">
        <v>853000</v>
      </c>
      <c r="J91" s="69">
        <v>1482000</v>
      </c>
      <c r="K91" s="69">
        <v>1531000</v>
      </c>
      <c r="L91" s="69">
        <v>878000</v>
      </c>
      <c r="M91" s="69">
        <v>667000</v>
      </c>
      <c r="N91" s="69">
        <v>280000</v>
      </c>
      <c r="O91" s="69">
        <v>932000</v>
      </c>
      <c r="P91" s="69">
        <v>518000</v>
      </c>
      <c r="Q91" s="69">
        <v>927000</v>
      </c>
      <c r="R91" s="69">
        <v>905000</v>
      </c>
      <c r="S91" s="69">
        <v>661000</v>
      </c>
      <c r="T91" s="69">
        <v>330000</v>
      </c>
      <c r="U91" s="69">
        <v>98000</v>
      </c>
      <c r="V91" s="69">
        <v>606744</v>
      </c>
      <c r="W91" s="69">
        <v>302607</v>
      </c>
      <c r="X91" s="69">
        <v>359877</v>
      </c>
      <c r="Y91" s="69">
        <v>598897</v>
      </c>
      <c r="Z91" s="69">
        <v>569246</v>
      </c>
      <c r="AA91" s="69">
        <v>4379993</v>
      </c>
      <c r="AB91" s="69">
        <v>7076938</v>
      </c>
      <c r="AC91" s="69">
        <v>14193492</v>
      </c>
      <c r="AD91" s="69">
        <v>13720775</v>
      </c>
      <c r="AE91" s="69">
        <v>14397353</v>
      </c>
      <c r="AF91" s="69">
        <v>16802542</v>
      </c>
      <c r="AG91" s="69">
        <v>12445020</v>
      </c>
      <c r="AH91" s="69">
        <v>29178730</v>
      </c>
      <c r="AI91" s="69">
        <v>14671728</v>
      </c>
      <c r="AJ91" s="69">
        <v>15133448</v>
      </c>
      <c r="AK91" s="69">
        <v>10735527</v>
      </c>
      <c r="AL91" s="69">
        <v>22216497</v>
      </c>
      <c r="AM91" s="69">
        <v>15699180</v>
      </c>
      <c r="AN91" s="69">
        <v>14002120</v>
      </c>
      <c r="AO91" s="69">
        <v>16349454</v>
      </c>
      <c r="AP91" s="69">
        <v>16145726</v>
      </c>
      <c r="AQ91" s="69">
        <v>4499735</v>
      </c>
      <c r="AR91" s="69">
        <v>1935763</v>
      </c>
      <c r="AS91" s="69">
        <v>1747673</v>
      </c>
      <c r="AT91" s="69">
        <v>3692093</v>
      </c>
      <c r="AU91" s="69">
        <v>1231101</v>
      </c>
      <c r="AV91">
        <v>7304127</v>
      </c>
      <c r="AW91">
        <v>1899342</v>
      </c>
      <c r="AX91">
        <v>15753210</v>
      </c>
    </row>
    <row r="92" spans="1:50" ht="14.5" x14ac:dyDescent="0.35">
      <c r="A92" s="68" t="s">
        <v>179</v>
      </c>
      <c r="B92" s="68" t="str">
        <f>VLOOKUP(Tabelle_Abfrage_von_MS_Access_Database[[#This Row],[LAND]],Texte!$A$4:$C$261,Texte!$A$1+1,FALSE)</f>
        <v>Republik Kongo</v>
      </c>
      <c r="C92" s="68" t="s">
        <v>508</v>
      </c>
      <c r="D92" s="68" t="s">
        <v>557</v>
      </c>
      <c r="E92" s="69">
        <v>145000</v>
      </c>
      <c r="F92" s="69">
        <v>988000</v>
      </c>
      <c r="G92" s="69">
        <v>1466000</v>
      </c>
      <c r="H92" s="69">
        <v>1176000</v>
      </c>
      <c r="I92" s="69">
        <v>1835000</v>
      </c>
      <c r="J92" s="69">
        <v>861000</v>
      </c>
      <c r="K92" s="69">
        <v>931000</v>
      </c>
      <c r="L92" s="69">
        <v>988000</v>
      </c>
      <c r="M92" s="69">
        <v>252000</v>
      </c>
      <c r="N92" s="69">
        <v>269000</v>
      </c>
      <c r="O92" s="69">
        <v>584000</v>
      </c>
      <c r="P92" s="69">
        <v>196000</v>
      </c>
      <c r="Q92" s="69">
        <v>295000</v>
      </c>
      <c r="R92" s="69">
        <v>262000</v>
      </c>
      <c r="S92" s="69">
        <v>236000</v>
      </c>
      <c r="T92" s="69">
        <v>12000</v>
      </c>
      <c r="U92" s="69">
        <v>275000</v>
      </c>
      <c r="V92" s="69">
        <v>549481</v>
      </c>
      <c r="W92" s="69">
        <v>212279</v>
      </c>
      <c r="X92" s="69">
        <v>435743</v>
      </c>
      <c r="Y92" s="69">
        <v>2047627</v>
      </c>
      <c r="Z92" s="69">
        <v>664519</v>
      </c>
      <c r="AA92" s="69">
        <v>867132</v>
      </c>
      <c r="AB92" s="69">
        <v>740496</v>
      </c>
      <c r="AC92" s="69">
        <v>681703</v>
      </c>
      <c r="AD92" s="69">
        <v>1507295</v>
      </c>
      <c r="AE92" s="69">
        <v>2825175</v>
      </c>
      <c r="AF92" s="69">
        <v>7168226</v>
      </c>
      <c r="AG92" s="69">
        <v>9815568</v>
      </c>
      <c r="AH92" s="69">
        <v>9191250</v>
      </c>
      <c r="AI92" s="69">
        <v>5056301</v>
      </c>
      <c r="AJ92" s="69">
        <v>3901761</v>
      </c>
      <c r="AK92" s="69">
        <v>1803430</v>
      </c>
      <c r="AL92" s="69">
        <v>1519250</v>
      </c>
      <c r="AM92" s="69">
        <v>5220047</v>
      </c>
      <c r="AN92" s="69">
        <v>5749371</v>
      </c>
      <c r="AO92" s="69">
        <v>7419428</v>
      </c>
      <c r="AP92" s="69">
        <v>7178927</v>
      </c>
      <c r="AQ92" s="69">
        <v>2820652</v>
      </c>
      <c r="AR92" s="69">
        <v>1683025</v>
      </c>
      <c r="AS92" s="69">
        <v>895131</v>
      </c>
      <c r="AT92" s="69">
        <v>1720589</v>
      </c>
      <c r="AU92" s="69">
        <v>1377305</v>
      </c>
      <c r="AV92">
        <v>1964435</v>
      </c>
      <c r="AW92">
        <v>2862553</v>
      </c>
      <c r="AX92">
        <v>1569241</v>
      </c>
    </row>
    <row r="93" spans="1:50" ht="14.5" x14ac:dyDescent="0.35">
      <c r="A93" s="68" t="s">
        <v>181</v>
      </c>
      <c r="B93" s="68" t="str">
        <f>VLOOKUP(Tabelle_Abfrage_von_MS_Access_Database[[#This Row],[LAND]],Texte!$A$4:$C$261,Texte!$A$1+1,FALSE)</f>
        <v>Demokrat.Republik Kongo</v>
      </c>
      <c r="C93" s="68" t="s">
        <v>508</v>
      </c>
      <c r="D93" s="68" t="s">
        <v>557</v>
      </c>
      <c r="E93" s="69">
        <v>10931000</v>
      </c>
      <c r="F93" s="69">
        <v>9038000</v>
      </c>
      <c r="G93" s="69">
        <v>5781000</v>
      </c>
      <c r="H93" s="69">
        <v>6570000</v>
      </c>
      <c r="I93" s="69">
        <v>4725000</v>
      </c>
      <c r="J93" s="69">
        <v>3713000</v>
      </c>
      <c r="K93" s="69">
        <v>4506000</v>
      </c>
      <c r="L93" s="69">
        <v>4178000</v>
      </c>
      <c r="M93" s="69">
        <v>3542000</v>
      </c>
      <c r="N93" s="69">
        <v>3134000</v>
      </c>
      <c r="O93" s="69">
        <v>2851000</v>
      </c>
      <c r="P93" s="69">
        <v>2457000</v>
      </c>
      <c r="Q93" s="69">
        <v>1177000</v>
      </c>
      <c r="R93" s="69">
        <v>1227000</v>
      </c>
      <c r="S93" s="69">
        <v>605000</v>
      </c>
      <c r="T93" s="69">
        <v>455000</v>
      </c>
      <c r="U93" s="69">
        <v>1187000</v>
      </c>
      <c r="V93" s="69">
        <v>1024177</v>
      </c>
      <c r="W93" s="69">
        <v>466994</v>
      </c>
      <c r="X93" s="69">
        <v>357842</v>
      </c>
      <c r="Y93" s="69">
        <v>318599</v>
      </c>
      <c r="Z93" s="69">
        <v>122380</v>
      </c>
      <c r="AA93" s="69">
        <v>103630</v>
      </c>
      <c r="AB93" s="69">
        <v>761701</v>
      </c>
      <c r="AC93" s="69">
        <v>1239649</v>
      </c>
      <c r="AD93" s="69">
        <v>933814</v>
      </c>
      <c r="AE93" s="69">
        <v>660923</v>
      </c>
      <c r="AF93" s="69">
        <v>937705</v>
      </c>
      <c r="AG93" s="69">
        <v>2048825</v>
      </c>
      <c r="AH93" s="69">
        <v>2857643</v>
      </c>
      <c r="AI93" s="69">
        <v>1879845</v>
      </c>
      <c r="AJ93" s="69">
        <v>2330280</v>
      </c>
      <c r="AK93" s="69">
        <v>1756854</v>
      </c>
      <c r="AL93" s="69">
        <v>5092494</v>
      </c>
      <c r="AM93" s="69">
        <v>5777713</v>
      </c>
      <c r="AN93" s="69">
        <v>5960828</v>
      </c>
      <c r="AO93" s="69">
        <v>5337334</v>
      </c>
      <c r="AP93" s="69">
        <v>5132517</v>
      </c>
      <c r="AQ93" s="69">
        <v>3907503</v>
      </c>
      <c r="AR93" s="69">
        <v>2777114</v>
      </c>
      <c r="AS93" s="69">
        <v>3737668</v>
      </c>
      <c r="AT93" s="69">
        <v>7319523</v>
      </c>
      <c r="AU93" s="69">
        <v>4074941</v>
      </c>
      <c r="AV93">
        <v>1880651</v>
      </c>
      <c r="AW93">
        <v>5730882</v>
      </c>
      <c r="AX93">
        <v>9300248</v>
      </c>
    </row>
    <row r="94" spans="1:50" ht="14.5" x14ac:dyDescent="0.35">
      <c r="A94" s="68" t="s">
        <v>183</v>
      </c>
      <c r="B94" s="68" t="str">
        <f>VLOOKUP(Tabelle_Abfrage_von_MS_Access_Database[[#This Row],[LAND]],Texte!$A$4:$C$261,Texte!$A$1+1,FALSE)</f>
        <v>Ruanda</v>
      </c>
      <c r="C94" s="68" t="s">
        <v>508</v>
      </c>
      <c r="D94" s="68" t="s">
        <v>557</v>
      </c>
      <c r="E94" s="69">
        <v>117000</v>
      </c>
      <c r="F94" s="69">
        <v>1300000</v>
      </c>
      <c r="G94" s="69">
        <v>392000</v>
      </c>
      <c r="H94" s="69">
        <v>233000</v>
      </c>
      <c r="I94" s="69">
        <v>144000</v>
      </c>
      <c r="J94" s="69">
        <v>200000</v>
      </c>
      <c r="K94" s="69">
        <v>144000</v>
      </c>
      <c r="L94" s="69">
        <v>529000</v>
      </c>
      <c r="M94" s="69">
        <v>361000</v>
      </c>
      <c r="N94" s="69">
        <v>143000</v>
      </c>
      <c r="O94" s="69">
        <v>202000</v>
      </c>
      <c r="P94" s="69">
        <v>691000</v>
      </c>
      <c r="Q94" s="69">
        <v>1242000</v>
      </c>
      <c r="R94" s="69">
        <v>174000</v>
      </c>
      <c r="S94" s="69">
        <v>309000</v>
      </c>
      <c r="T94" s="69">
        <v>20000</v>
      </c>
      <c r="U94" s="69">
        <v>171000</v>
      </c>
      <c r="V94" s="69">
        <v>417725</v>
      </c>
      <c r="W94" s="69">
        <v>214821</v>
      </c>
      <c r="X94" s="69">
        <v>338728</v>
      </c>
      <c r="Y94" s="69">
        <v>1207387</v>
      </c>
      <c r="Z94" s="69">
        <v>832688</v>
      </c>
      <c r="AA94" s="69">
        <v>856666</v>
      </c>
      <c r="AB94" s="69">
        <v>472802</v>
      </c>
      <c r="AC94" s="69">
        <v>452016</v>
      </c>
      <c r="AD94" s="69">
        <v>49774</v>
      </c>
      <c r="AE94" s="69">
        <v>149770</v>
      </c>
      <c r="AF94" s="69">
        <v>181786</v>
      </c>
      <c r="AG94" s="69">
        <v>1075631</v>
      </c>
      <c r="AH94" s="69">
        <v>300819</v>
      </c>
      <c r="AI94" s="69">
        <v>293073</v>
      </c>
      <c r="AJ94" s="69">
        <v>665472</v>
      </c>
      <c r="AK94" s="69">
        <v>336180</v>
      </c>
      <c r="AL94" s="69">
        <v>194208</v>
      </c>
      <c r="AM94" s="69">
        <v>1500545</v>
      </c>
      <c r="AN94" s="69">
        <v>323897</v>
      </c>
      <c r="AO94" s="69">
        <v>128423</v>
      </c>
      <c r="AP94" s="69">
        <v>1095034</v>
      </c>
      <c r="AQ94" s="69">
        <v>1070429</v>
      </c>
      <c r="AR94" s="69">
        <v>389667</v>
      </c>
      <c r="AS94" s="69">
        <v>805984</v>
      </c>
      <c r="AT94" s="69">
        <v>1635785</v>
      </c>
      <c r="AU94" s="69">
        <v>2657313</v>
      </c>
      <c r="AV94">
        <v>1593846</v>
      </c>
      <c r="AW94">
        <v>3135508</v>
      </c>
      <c r="AX94">
        <v>3736102</v>
      </c>
    </row>
    <row r="95" spans="1:50" ht="14.5" x14ac:dyDescent="0.35">
      <c r="A95" s="68" t="s">
        <v>185</v>
      </c>
      <c r="B95" s="68" t="str">
        <f>VLOOKUP(Tabelle_Abfrage_von_MS_Access_Database[[#This Row],[LAND]],Texte!$A$4:$C$261,Texte!$A$1+1,FALSE)</f>
        <v>Burundi</v>
      </c>
      <c r="C95" s="68" t="s">
        <v>508</v>
      </c>
      <c r="D95" s="68" t="s">
        <v>557</v>
      </c>
      <c r="E95" s="69">
        <v>287000</v>
      </c>
      <c r="F95" s="69">
        <v>299000</v>
      </c>
      <c r="G95" s="69">
        <v>237000</v>
      </c>
      <c r="H95" s="69">
        <v>489000</v>
      </c>
      <c r="I95" s="69">
        <v>636000</v>
      </c>
      <c r="J95" s="69">
        <v>624000</v>
      </c>
      <c r="K95" s="69">
        <v>1021000</v>
      </c>
      <c r="L95" s="69">
        <v>487000</v>
      </c>
      <c r="M95" s="69">
        <v>652000</v>
      </c>
      <c r="N95" s="69">
        <v>268000</v>
      </c>
      <c r="O95" s="69">
        <v>197000</v>
      </c>
      <c r="P95" s="69">
        <v>244000</v>
      </c>
      <c r="Q95" s="69">
        <v>1464000</v>
      </c>
      <c r="R95" s="69">
        <v>273000</v>
      </c>
      <c r="S95" s="69">
        <v>112000</v>
      </c>
      <c r="T95" s="69">
        <v>2454000</v>
      </c>
      <c r="U95" s="69">
        <v>926000</v>
      </c>
      <c r="V95" s="69">
        <v>2916287</v>
      </c>
      <c r="W95" s="69">
        <v>937044</v>
      </c>
      <c r="X95" s="69">
        <v>358929</v>
      </c>
      <c r="Y95" s="69">
        <v>285095</v>
      </c>
      <c r="Z95" s="69">
        <v>352028</v>
      </c>
      <c r="AA95" s="69">
        <v>232626</v>
      </c>
      <c r="AB95" s="69">
        <v>5429333</v>
      </c>
      <c r="AC95" s="69">
        <v>438853</v>
      </c>
      <c r="AD95" s="69">
        <v>724685</v>
      </c>
      <c r="AE95" s="69">
        <v>130143</v>
      </c>
      <c r="AF95" s="69">
        <v>537253</v>
      </c>
      <c r="AG95" s="69">
        <v>174930</v>
      </c>
      <c r="AH95" s="69">
        <v>151791</v>
      </c>
      <c r="AI95" s="69">
        <v>63538</v>
      </c>
      <c r="AJ95" s="69">
        <v>233355</v>
      </c>
      <c r="AK95" s="69">
        <v>75995</v>
      </c>
      <c r="AL95" s="69">
        <v>121278</v>
      </c>
      <c r="AM95" s="69">
        <v>156804</v>
      </c>
      <c r="AN95" s="69">
        <v>75055</v>
      </c>
      <c r="AO95" s="69">
        <v>63291</v>
      </c>
      <c r="AP95" s="69">
        <v>145668</v>
      </c>
      <c r="AQ95" s="69">
        <v>237459</v>
      </c>
      <c r="AR95" s="69">
        <v>149864</v>
      </c>
      <c r="AS95" s="69">
        <v>209771</v>
      </c>
      <c r="AT95" s="69">
        <v>316771</v>
      </c>
      <c r="AU95" s="69">
        <v>776753</v>
      </c>
      <c r="AV95">
        <v>781560</v>
      </c>
      <c r="AW95">
        <v>1317044</v>
      </c>
      <c r="AX95">
        <v>1780571</v>
      </c>
    </row>
    <row r="96" spans="1:50" ht="14.5" x14ac:dyDescent="0.35">
      <c r="A96" s="68" t="s">
        <v>187</v>
      </c>
      <c r="B96" s="68" t="str">
        <f>VLOOKUP(Tabelle_Abfrage_von_MS_Access_Database[[#This Row],[LAND]],Texte!$A$4:$C$261,Texte!$A$1+1,FALSE)</f>
        <v>St. Helena</v>
      </c>
      <c r="C96" s="68" t="s">
        <v>515</v>
      </c>
      <c r="D96" s="68" t="s">
        <v>557</v>
      </c>
      <c r="E96" s="69">
        <v>0</v>
      </c>
      <c r="F96" s="69">
        <v>0</v>
      </c>
      <c r="G96" s="69">
        <v>0</v>
      </c>
      <c r="H96" s="69">
        <v>0</v>
      </c>
      <c r="I96" s="69">
        <v>0</v>
      </c>
      <c r="J96" s="69">
        <v>0</v>
      </c>
      <c r="K96" s="69">
        <v>0</v>
      </c>
      <c r="L96" s="69">
        <v>1000</v>
      </c>
      <c r="M96" s="69">
        <v>0</v>
      </c>
      <c r="N96" s="69">
        <v>0</v>
      </c>
      <c r="O96" s="69">
        <v>19000</v>
      </c>
      <c r="P96" s="69">
        <v>0</v>
      </c>
      <c r="Q96" s="69">
        <v>0</v>
      </c>
      <c r="R96" s="69">
        <v>3000</v>
      </c>
      <c r="S96" s="69">
        <v>4000</v>
      </c>
      <c r="T96" s="69">
        <v>24000</v>
      </c>
      <c r="U96" s="69">
        <v>107000</v>
      </c>
      <c r="V96" s="69">
        <v>50652</v>
      </c>
      <c r="W96" s="69">
        <v>2689</v>
      </c>
      <c r="X96" s="69">
        <v>0</v>
      </c>
      <c r="Y96" s="69">
        <v>5087</v>
      </c>
      <c r="Z96" s="69">
        <v>2180</v>
      </c>
      <c r="AA96" s="69">
        <v>0</v>
      </c>
      <c r="AB96" s="69">
        <v>0</v>
      </c>
      <c r="AC96" s="69">
        <v>0</v>
      </c>
      <c r="AD96" s="69">
        <v>871</v>
      </c>
      <c r="AE96" s="69">
        <v>22784</v>
      </c>
      <c r="AF96" s="69">
        <v>11032</v>
      </c>
      <c r="AG96" s="69">
        <v>1998</v>
      </c>
      <c r="AH96" s="69">
        <v>8068</v>
      </c>
      <c r="AI96" s="69">
        <v>17683</v>
      </c>
      <c r="AJ96" s="70"/>
      <c r="AK96" s="69">
        <v>35934</v>
      </c>
      <c r="AL96" s="69">
        <v>0</v>
      </c>
      <c r="AM96" s="69">
        <v>17050</v>
      </c>
      <c r="AN96" s="70"/>
      <c r="AO96" s="69">
        <v>10913</v>
      </c>
      <c r="AP96" s="69">
        <v>2881599</v>
      </c>
      <c r="AQ96" s="69">
        <v>331</v>
      </c>
      <c r="AR96" s="69">
        <v>0</v>
      </c>
      <c r="AS96" s="69">
        <v>0</v>
      </c>
      <c r="AT96" s="69">
        <v>3562</v>
      </c>
      <c r="AU96" s="69">
        <v>95613</v>
      </c>
      <c r="AV96">
        <v>46415</v>
      </c>
      <c r="AW96">
        <v>240207</v>
      </c>
      <c r="AX96">
        <v>5171</v>
      </c>
    </row>
    <row r="97" spans="1:50" ht="14.5" x14ac:dyDescent="0.35">
      <c r="A97" s="68" t="s">
        <v>189</v>
      </c>
      <c r="B97" s="68" t="str">
        <f>VLOOKUP(Tabelle_Abfrage_von_MS_Access_Database[[#This Row],[LAND]],Texte!$A$4:$C$261,Texte!$A$1+1,FALSE)</f>
        <v>Angola</v>
      </c>
      <c r="C97" s="68" t="s">
        <v>508</v>
      </c>
      <c r="D97" s="68" t="s">
        <v>557</v>
      </c>
      <c r="E97" s="69">
        <v>3050000</v>
      </c>
      <c r="F97" s="69">
        <v>3392000</v>
      </c>
      <c r="G97" s="69">
        <v>3528000</v>
      </c>
      <c r="H97" s="69">
        <v>2926000</v>
      </c>
      <c r="I97" s="69">
        <v>9083000</v>
      </c>
      <c r="J97" s="69">
        <v>5531000</v>
      </c>
      <c r="K97" s="69">
        <v>6667000</v>
      </c>
      <c r="L97" s="69">
        <v>6033000</v>
      </c>
      <c r="M97" s="69">
        <v>2409000</v>
      </c>
      <c r="N97" s="69">
        <v>835000</v>
      </c>
      <c r="O97" s="69">
        <v>1852000</v>
      </c>
      <c r="P97" s="69">
        <v>2016000</v>
      </c>
      <c r="Q97" s="69">
        <v>2270000</v>
      </c>
      <c r="R97" s="69">
        <v>929000</v>
      </c>
      <c r="S97" s="69">
        <v>3826000</v>
      </c>
      <c r="T97" s="69">
        <v>2246000</v>
      </c>
      <c r="U97" s="69">
        <v>2618000</v>
      </c>
      <c r="V97" s="69">
        <v>1881286</v>
      </c>
      <c r="W97" s="69">
        <v>2507068</v>
      </c>
      <c r="X97" s="69">
        <v>1200849</v>
      </c>
      <c r="Y97" s="69">
        <v>1348443</v>
      </c>
      <c r="Z97" s="69">
        <v>578550</v>
      </c>
      <c r="AA97" s="69">
        <v>876073</v>
      </c>
      <c r="AB97" s="69">
        <v>1782651</v>
      </c>
      <c r="AC97" s="69">
        <v>2156324</v>
      </c>
      <c r="AD97" s="69">
        <v>6681510</v>
      </c>
      <c r="AE97" s="69">
        <v>4177439</v>
      </c>
      <c r="AF97" s="69">
        <v>3244714</v>
      </c>
      <c r="AG97" s="69">
        <v>9429848</v>
      </c>
      <c r="AH97" s="69">
        <v>13193655</v>
      </c>
      <c r="AI97" s="69">
        <v>19730586</v>
      </c>
      <c r="AJ97" s="69">
        <v>25005027</v>
      </c>
      <c r="AK97" s="69">
        <v>9767020</v>
      </c>
      <c r="AL97" s="69">
        <v>16029015</v>
      </c>
      <c r="AM97" s="69">
        <v>25896723</v>
      </c>
      <c r="AN97" s="69">
        <v>19924439</v>
      </c>
      <c r="AO97" s="69">
        <v>14574180</v>
      </c>
      <c r="AP97" s="69">
        <v>36688594</v>
      </c>
      <c r="AQ97" s="69">
        <v>50787795</v>
      </c>
      <c r="AR97" s="69">
        <v>42280485</v>
      </c>
      <c r="AS97" s="69">
        <v>17985661</v>
      </c>
      <c r="AT97" s="69">
        <v>5356538</v>
      </c>
      <c r="AU97" s="69">
        <v>4817442</v>
      </c>
      <c r="AV97">
        <v>4368387</v>
      </c>
      <c r="AW97">
        <v>13669830</v>
      </c>
      <c r="AX97">
        <v>7974982</v>
      </c>
    </row>
    <row r="98" spans="1:50" ht="14.5" x14ac:dyDescent="0.35">
      <c r="A98" s="68" t="s">
        <v>191</v>
      </c>
      <c r="B98" s="68" t="str">
        <f>VLOOKUP(Tabelle_Abfrage_von_MS_Access_Database[[#This Row],[LAND]],Texte!$A$4:$C$261,Texte!$A$1+1,FALSE)</f>
        <v>Äthiopien</v>
      </c>
      <c r="C98" s="68" t="s">
        <v>508</v>
      </c>
      <c r="D98" s="68" t="s">
        <v>557</v>
      </c>
      <c r="E98" s="69">
        <v>3895000</v>
      </c>
      <c r="F98" s="69">
        <v>3662000</v>
      </c>
      <c r="G98" s="69">
        <v>3720000</v>
      </c>
      <c r="H98" s="69">
        <v>5221000</v>
      </c>
      <c r="I98" s="69">
        <v>7490000</v>
      </c>
      <c r="J98" s="69">
        <v>5612000</v>
      </c>
      <c r="K98" s="69">
        <v>5122000</v>
      </c>
      <c r="L98" s="69">
        <v>12124000</v>
      </c>
      <c r="M98" s="69">
        <v>6028000</v>
      </c>
      <c r="N98" s="69">
        <v>4326000</v>
      </c>
      <c r="O98" s="69">
        <v>4373000</v>
      </c>
      <c r="P98" s="69">
        <v>10560000</v>
      </c>
      <c r="Q98" s="69">
        <v>12087000</v>
      </c>
      <c r="R98" s="69">
        <v>8496000</v>
      </c>
      <c r="S98" s="69">
        <v>4009000</v>
      </c>
      <c r="T98" s="69">
        <v>5967000</v>
      </c>
      <c r="U98" s="69">
        <v>3869000</v>
      </c>
      <c r="V98" s="69">
        <v>4190814</v>
      </c>
      <c r="W98" s="69">
        <v>8042043</v>
      </c>
      <c r="X98" s="69">
        <v>6360618</v>
      </c>
      <c r="Y98" s="69">
        <v>4306595</v>
      </c>
      <c r="Z98" s="69">
        <v>4491620</v>
      </c>
      <c r="AA98" s="69">
        <v>3321222</v>
      </c>
      <c r="AB98" s="69">
        <v>8954233</v>
      </c>
      <c r="AC98" s="69">
        <v>7118512</v>
      </c>
      <c r="AD98" s="69">
        <v>5499784</v>
      </c>
      <c r="AE98" s="69">
        <v>5373627</v>
      </c>
      <c r="AF98" s="69">
        <v>5619381</v>
      </c>
      <c r="AG98" s="69">
        <v>5617405</v>
      </c>
      <c r="AH98" s="69">
        <v>14458801</v>
      </c>
      <c r="AI98" s="69">
        <v>16266531</v>
      </c>
      <c r="AJ98" s="69">
        <v>9539443</v>
      </c>
      <c r="AK98" s="69">
        <v>6280375</v>
      </c>
      <c r="AL98" s="69">
        <v>12117755</v>
      </c>
      <c r="AM98" s="69">
        <v>25161470</v>
      </c>
      <c r="AN98" s="69">
        <v>9244719</v>
      </c>
      <c r="AO98" s="69">
        <v>7573903</v>
      </c>
      <c r="AP98" s="69">
        <v>13302319</v>
      </c>
      <c r="AQ98" s="69">
        <v>20003898</v>
      </c>
      <c r="AR98" s="69">
        <v>16431567</v>
      </c>
      <c r="AS98" s="69">
        <v>10000818</v>
      </c>
      <c r="AT98" s="69">
        <v>16589661</v>
      </c>
      <c r="AU98" s="69">
        <v>14726088</v>
      </c>
      <c r="AV98">
        <v>11049298</v>
      </c>
      <c r="AW98">
        <v>12255979</v>
      </c>
      <c r="AX98">
        <v>11068687</v>
      </c>
    </row>
    <row r="99" spans="1:50" ht="14.5" x14ac:dyDescent="0.35">
      <c r="A99" s="68" t="s">
        <v>193</v>
      </c>
      <c r="B99" s="68" t="str">
        <f>VLOOKUP(Tabelle_Abfrage_von_MS_Access_Database[[#This Row],[LAND]],Texte!$A$4:$C$261,Texte!$A$1+1,FALSE)</f>
        <v>Eritrea</v>
      </c>
      <c r="C99" s="68" t="s">
        <v>525</v>
      </c>
      <c r="D99" s="68" t="s">
        <v>557</v>
      </c>
      <c r="E99" s="69">
        <v>0</v>
      </c>
      <c r="F99" s="69">
        <v>0</v>
      </c>
      <c r="G99" s="69">
        <v>0</v>
      </c>
      <c r="H99" s="69">
        <v>0</v>
      </c>
      <c r="I99" s="69">
        <v>0</v>
      </c>
      <c r="J99" s="69">
        <v>0</v>
      </c>
      <c r="K99" s="69">
        <v>0</v>
      </c>
      <c r="L99" s="69">
        <v>0</v>
      </c>
      <c r="M99" s="69">
        <v>0</v>
      </c>
      <c r="N99" s="69">
        <v>0</v>
      </c>
      <c r="O99" s="69">
        <v>0</v>
      </c>
      <c r="P99" s="69">
        <v>0</v>
      </c>
      <c r="Q99" s="69">
        <v>0</v>
      </c>
      <c r="R99" s="69">
        <v>0</v>
      </c>
      <c r="S99" s="69">
        <v>0</v>
      </c>
      <c r="T99" s="69">
        <v>0</v>
      </c>
      <c r="U99" s="69">
        <v>0</v>
      </c>
      <c r="V99" s="69">
        <v>196362</v>
      </c>
      <c r="W99" s="69">
        <v>427172</v>
      </c>
      <c r="X99" s="69">
        <v>357406</v>
      </c>
      <c r="Y99" s="69">
        <v>469102</v>
      </c>
      <c r="Z99" s="69">
        <v>251812</v>
      </c>
      <c r="AA99" s="69">
        <v>153120</v>
      </c>
      <c r="AB99" s="69">
        <v>93415</v>
      </c>
      <c r="AC99" s="69">
        <v>340756</v>
      </c>
      <c r="AD99" s="69">
        <v>903895</v>
      </c>
      <c r="AE99" s="69">
        <v>433299</v>
      </c>
      <c r="AF99" s="69">
        <v>139889</v>
      </c>
      <c r="AG99" s="69">
        <v>70915</v>
      </c>
      <c r="AH99" s="69">
        <v>113789</v>
      </c>
      <c r="AI99" s="69">
        <v>35498</v>
      </c>
      <c r="AJ99" s="69">
        <v>26468</v>
      </c>
      <c r="AK99" s="69">
        <v>58352</v>
      </c>
      <c r="AL99" s="69">
        <v>17342</v>
      </c>
      <c r="AM99" s="69">
        <v>162201</v>
      </c>
      <c r="AN99" s="69">
        <v>160541</v>
      </c>
      <c r="AO99" s="69">
        <v>67567</v>
      </c>
      <c r="AP99" s="69">
        <v>900086</v>
      </c>
      <c r="AQ99" s="69">
        <v>112515</v>
      </c>
      <c r="AR99" s="69">
        <v>2993281</v>
      </c>
      <c r="AS99" s="69">
        <v>104717</v>
      </c>
      <c r="AT99" s="69">
        <v>590282</v>
      </c>
      <c r="AU99" s="69">
        <v>346925</v>
      </c>
      <c r="AV99">
        <v>101455</v>
      </c>
      <c r="AW99">
        <v>207851</v>
      </c>
      <c r="AX99">
        <v>777348</v>
      </c>
    </row>
    <row r="100" spans="1:50" ht="14.5" x14ac:dyDescent="0.35">
      <c r="A100" s="68" t="s">
        <v>195</v>
      </c>
      <c r="B100" s="68" t="str">
        <f>VLOOKUP(Tabelle_Abfrage_von_MS_Access_Database[[#This Row],[LAND]],Texte!$A$4:$C$261,Texte!$A$1+1,FALSE)</f>
        <v>Dschibuti</v>
      </c>
      <c r="C100" s="68" t="s">
        <v>508</v>
      </c>
      <c r="D100" s="68" t="s">
        <v>557</v>
      </c>
      <c r="E100" s="69">
        <v>346000</v>
      </c>
      <c r="F100" s="69">
        <v>620000</v>
      </c>
      <c r="G100" s="69">
        <v>317000</v>
      </c>
      <c r="H100" s="69">
        <v>1230000</v>
      </c>
      <c r="I100" s="69">
        <v>941000</v>
      </c>
      <c r="J100" s="69">
        <v>1351000</v>
      </c>
      <c r="K100" s="69">
        <v>1196000</v>
      </c>
      <c r="L100" s="69">
        <v>1028000</v>
      </c>
      <c r="M100" s="69">
        <v>716000</v>
      </c>
      <c r="N100" s="69">
        <v>395000</v>
      </c>
      <c r="O100" s="69">
        <v>205000</v>
      </c>
      <c r="P100" s="69">
        <v>490000</v>
      </c>
      <c r="Q100" s="69">
        <v>376000</v>
      </c>
      <c r="R100" s="69">
        <v>817000</v>
      </c>
      <c r="S100" s="69">
        <v>844000</v>
      </c>
      <c r="T100" s="69">
        <v>802000</v>
      </c>
      <c r="U100" s="69">
        <v>576000</v>
      </c>
      <c r="V100" s="69">
        <v>826583</v>
      </c>
      <c r="W100" s="69">
        <v>1015529</v>
      </c>
      <c r="X100" s="69">
        <v>1527077</v>
      </c>
      <c r="Y100" s="69">
        <v>950925</v>
      </c>
      <c r="Z100" s="69">
        <v>867714</v>
      </c>
      <c r="AA100" s="69">
        <v>1956209</v>
      </c>
      <c r="AB100" s="69">
        <v>2892812</v>
      </c>
      <c r="AC100" s="69">
        <v>1592476</v>
      </c>
      <c r="AD100" s="69">
        <v>1056338</v>
      </c>
      <c r="AE100" s="69">
        <v>750140</v>
      </c>
      <c r="AF100" s="69">
        <v>820784</v>
      </c>
      <c r="AG100" s="69">
        <v>1371723</v>
      </c>
      <c r="AH100" s="69">
        <v>712086</v>
      </c>
      <c r="AI100" s="69">
        <v>1568135</v>
      </c>
      <c r="AJ100" s="69">
        <v>1459069</v>
      </c>
      <c r="AK100" s="69">
        <v>1104784</v>
      </c>
      <c r="AL100" s="69">
        <v>602979</v>
      </c>
      <c r="AM100" s="69">
        <v>899709</v>
      </c>
      <c r="AN100" s="69">
        <v>1616205</v>
      </c>
      <c r="AO100" s="69">
        <v>832784</v>
      </c>
      <c r="AP100" s="69">
        <v>1149163</v>
      </c>
      <c r="AQ100" s="69">
        <v>851725</v>
      </c>
      <c r="AR100" s="69">
        <v>602839</v>
      </c>
      <c r="AS100" s="69">
        <v>1135198</v>
      </c>
      <c r="AT100" s="69">
        <v>3028927</v>
      </c>
      <c r="AU100" s="69">
        <v>4222988</v>
      </c>
      <c r="AV100">
        <v>3530675</v>
      </c>
      <c r="AW100">
        <v>2607931</v>
      </c>
      <c r="AX100">
        <v>3415991</v>
      </c>
    </row>
    <row r="101" spans="1:50" ht="14.5" x14ac:dyDescent="0.35">
      <c r="A101" s="68" t="s">
        <v>197</v>
      </c>
      <c r="B101" s="68" t="str">
        <f>VLOOKUP(Tabelle_Abfrage_von_MS_Access_Database[[#This Row],[LAND]],Texte!$A$4:$C$261,Texte!$A$1+1,FALSE)</f>
        <v>Somalia</v>
      </c>
      <c r="C101" s="68" t="s">
        <v>508</v>
      </c>
      <c r="D101" s="68" t="s">
        <v>557</v>
      </c>
      <c r="E101" s="69">
        <v>639000</v>
      </c>
      <c r="F101" s="69">
        <v>822000</v>
      </c>
      <c r="G101" s="69">
        <v>4527000</v>
      </c>
      <c r="H101" s="69">
        <v>2303000</v>
      </c>
      <c r="I101" s="69">
        <v>1052000</v>
      </c>
      <c r="J101" s="69">
        <v>4214000</v>
      </c>
      <c r="K101" s="69">
        <v>3398000</v>
      </c>
      <c r="L101" s="69">
        <v>1478000</v>
      </c>
      <c r="M101" s="69">
        <v>3273000</v>
      </c>
      <c r="N101" s="69">
        <v>2493000</v>
      </c>
      <c r="O101" s="69">
        <v>1624000</v>
      </c>
      <c r="P101" s="69">
        <v>1415000</v>
      </c>
      <c r="Q101" s="69">
        <v>973000</v>
      </c>
      <c r="R101" s="69">
        <v>540000</v>
      </c>
      <c r="S101" s="69">
        <v>245000</v>
      </c>
      <c r="T101" s="69">
        <v>456000</v>
      </c>
      <c r="U101" s="69">
        <v>313000</v>
      </c>
      <c r="V101" s="69">
        <v>659288</v>
      </c>
      <c r="W101" s="69">
        <v>363509</v>
      </c>
      <c r="X101" s="69">
        <v>531819</v>
      </c>
      <c r="Y101" s="69">
        <v>1528964</v>
      </c>
      <c r="Z101" s="69">
        <v>2422764</v>
      </c>
      <c r="AA101" s="69">
        <v>2045666</v>
      </c>
      <c r="AB101" s="69">
        <v>3328739</v>
      </c>
      <c r="AC101" s="69">
        <v>1112632</v>
      </c>
      <c r="AD101" s="69">
        <v>876969</v>
      </c>
      <c r="AE101" s="69">
        <v>613315</v>
      </c>
      <c r="AF101" s="69">
        <v>481948</v>
      </c>
      <c r="AG101" s="69">
        <v>305217</v>
      </c>
      <c r="AH101" s="69">
        <v>17138</v>
      </c>
      <c r="AI101" s="69">
        <v>77206</v>
      </c>
      <c r="AJ101" s="69">
        <v>7966</v>
      </c>
      <c r="AK101" s="69">
        <v>580556</v>
      </c>
      <c r="AL101" s="69">
        <v>244056</v>
      </c>
      <c r="AM101" s="69">
        <v>336344</v>
      </c>
      <c r="AN101" s="69">
        <v>453155</v>
      </c>
      <c r="AO101" s="69">
        <v>452034</v>
      </c>
      <c r="AP101" s="69">
        <v>826701</v>
      </c>
      <c r="AQ101" s="69">
        <v>656889</v>
      </c>
      <c r="AR101" s="69">
        <v>782396</v>
      </c>
      <c r="AS101" s="69">
        <v>453753</v>
      </c>
      <c r="AT101" s="69">
        <v>463330</v>
      </c>
      <c r="AU101" s="69">
        <v>1044374</v>
      </c>
      <c r="AV101">
        <v>1913618</v>
      </c>
      <c r="AW101">
        <v>2655457</v>
      </c>
      <c r="AX101">
        <v>1316451</v>
      </c>
    </row>
    <row r="102" spans="1:50" ht="14.5" x14ac:dyDescent="0.35">
      <c r="A102" s="68" t="s">
        <v>199</v>
      </c>
      <c r="B102" s="68" t="str">
        <f>VLOOKUP(Tabelle_Abfrage_von_MS_Access_Database[[#This Row],[LAND]],Texte!$A$4:$C$261,Texte!$A$1+1,FALSE)</f>
        <v>Kenia</v>
      </c>
      <c r="C102" s="68" t="s">
        <v>508</v>
      </c>
      <c r="D102" s="68" t="s">
        <v>557</v>
      </c>
      <c r="E102" s="69">
        <v>7044000</v>
      </c>
      <c r="F102" s="69">
        <v>25911000</v>
      </c>
      <c r="G102" s="69">
        <v>13358000</v>
      </c>
      <c r="H102" s="69">
        <v>22850000</v>
      </c>
      <c r="I102" s="69">
        <v>10123000</v>
      </c>
      <c r="J102" s="69">
        <v>10050000</v>
      </c>
      <c r="K102" s="69">
        <v>9909000</v>
      </c>
      <c r="L102" s="69">
        <v>12867000</v>
      </c>
      <c r="M102" s="69">
        <v>10337000</v>
      </c>
      <c r="N102" s="69">
        <v>10728000</v>
      </c>
      <c r="O102" s="69">
        <v>9872000</v>
      </c>
      <c r="P102" s="69">
        <v>11454000</v>
      </c>
      <c r="Q102" s="69">
        <v>10606000</v>
      </c>
      <c r="R102" s="69">
        <v>8465000</v>
      </c>
      <c r="S102" s="69">
        <v>8955000</v>
      </c>
      <c r="T102" s="69">
        <v>6307000</v>
      </c>
      <c r="U102" s="69">
        <v>6508000</v>
      </c>
      <c r="V102" s="69">
        <v>7898444</v>
      </c>
      <c r="W102" s="69">
        <v>7475639</v>
      </c>
      <c r="X102" s="69">
        <v>7535950</v>
      </c>
      <c r="Y102" s="69">
        <v>5892522</v>
      </c>
      <c r="Z102" s="69">
        <v>5326268</v>
      </c>
      <c r="AA102" s="69">
        <v>4281525</v>
      </c>
      <c r="AB102" s="69">
        <v>6133107</v>
      </c>
      <c r="AC102" s="69">
        <v>5364683</v>
      </c>
      <c r="AD102" s="69">
        <v>5316853</v>
      </c>
      <c r="AE102" s="69">
        <v>3594627</v>
      </c>
      <c r="AF102" s="69">
        <v>6744385</v>
      </c>
      <c r="AG102" s="69">
        <v>17732955</v>
      </c>
      <c r="AH102" s="69">
        <v>12293559</v>
      </c>
      <c r="AI102" s="69">
        <v>11990738</v>
      </c>
      <c r="AJ102" s="69">
        <v>6929695</v>
      </c>
      <c r="AK102" s="69">
        <v>9878150</v>
      </c>
      <c r="AL102" s="69">
        <v>19213667</v>
      </c>
      <c r="AM102" s="69">
        <v>19467834</v>
      </c>
      <c r="AN102" s="69">
        <v>15568144</v>
      </c>
      <c r="AO102" s="69">
        <v>20637843</v>
      </c>
      <c r="AP102" s="69">
        <v>22338977</v>
      </c>
      <c r="AQ102" s="69">
        <v>16505386</v>
      </c>
      <c r="AR102" s="69">
        <v>17065858</v>
      </c>
      <c r="AS102" s="69">
        <v>23381466</v>
      </c>
      <c r="AT102" s="69">
        <v>36527652</v>
      </c>
      <c r="AU102" s="69">
        <v>15069765</v>
      </c>
      <c r="AV102">
        <v>14171423</v>
      </c>
      <c r="AW102">
        <v>19973118</v>
      </c>
      <c r="AX102">
        <v>23724543</v>
      </c>
    </row>
    <row r="103" spans="1:50" ht="14.5" x14ac:dyDescent="0.35">
      <c r="A103" s="68" t="s">
        <v>201</v>
      </c>
      <c r="B103" s="68" t="str">
        <f>VLOOKUP(Tabelle_Abfrage_von_MS_Access_Database[[#This Row],[LAND]],Texte!$A$4:$C$261,Texte!$A$1+1,FALSE)</f>
        <v>Uganda</v>
      </c>
      <c r="C103" s="68" t="s">
        <v>508</v>
      </c>
      <c r="D103" s="68" t="s">
        <v>557</v>
      </c>
      <c r="E103" s="69">
        <v>1296000</v>
      </c>
      <c r="F103" s="69">
        <v>264000</v>
      </c>
      <c r="G103" s="69">
        <v>1025000</v>
      </c>
      <c r="H103" s="69">
        <v>326000</v>
      </c>
      <c r="I103" s="69">
        <v>645000</v>
      </c>
      <c r="J103" s="69">
        <v>765000</v>
      </c>
      <c r="K103" s="69">
        <v>1503000</v>
      </c>
      <c r="L103" s="69">
        <v>632000</v>
      </c>
      <c r="M103" s="69">
        <v>587000</v>
      </c>
      <c r="N103" s="69">
        <v>809000</v>
      </c>
      <c r="O103" s="69">
        <v>882000</v>
      </c>
      <c r="P103" s="69">
        <v>714000</v>
      </c>
      <c r="Q103" s="69">
        <v>5454000</v>
      </c>
      <c r="R103" s="69">
        <v>3651000</v>
      </c>
      <c r="S103" s="69">
        <v>617000</v>
      </c>
      <c r="T103" s="69">
        <v>6448000</v>
      </c>
      <c r="U103" s="69">
        <v>1930000</v>
      </c>
      <c r="V103" s="69">
        <v>4561963</v>
      </c>
      <c r="W103" s="69">
        <v>1044736</v>
      </c>
      <c r="X103" s="69">
        <v>880871</v>
      </c>
      <c r="Y103" s="69">
        <v>689805</v>
      </c>
      <c r="Z103" s="69">
        <v>2113908</v>
      </c>
      <c r="AA103" s="69">
        <v>1634558</v>
      </c>
      <c r="AB103" s="69">
        <v>2576063</v>
      </c>
      <c r="AC103" s="69">
        <v>1671863</v>
      </c>
      <c r="AD103" s="69">
        <v>876207</v>
      </c>
      <c r="AE103" s="69">
        <v>936476</v>
      </c>
      <c r="AF103" s="69">
        <v>1042217</v>
      </c>
      <c r="AG103" s="69">
        <v>3321549</v>
      </c>
      <c r="AH103" s="69">
        <v>5876930</v>
      </c>
      <c r="AI103" s="69">
        <v>2632191</v>
      </c>
      <c r="AJ103" s="69">
        <v>3328174</v>
      </c>
      <c r="AK103" s="69">
        <v>5716151</v>
      </c>
      <c r="AL103" s="69">
        <v>4126260</v>
      </c>
      <c r="AM103" s="69">
        <v>6171151</v>
      </c>
      <c r="AN103" s="69">
        <v>7216706</v>
      </c>
      <c r="AO103" s="69">
        <v>8065443</v>
      </c>
      <c r="AP103" s="69">
        <v>8062968</v>
      </c>
      <c r="AQ103" s="69">
        <v>6595232</v>
      </c>
      <c r="AR103" s="69">
        <v>5348285</v>
      </c>
      <c r="AS103" s="69">
        <v>8338181</v>
      </c>
      <c r="AT103" s="69">
        <v>8253331</v>
      </c>
      <c r="AU103" s="69">
        <v>6333064</v>
      </c>
      <c r="AV103">
        <v>7679004</v>
      </c>
      <c r="AW103">
        <v>12452034</v>
      </c>
      <c r="AX103">
        <v>6645174</v>
      </c>
    </row>
    <row r="104" spans="1:50" ht="14.5" x14ac:dyDescent="0.35">
      <c r="A104" s="68" t="s">
        <v>203</v>
      </c>
      <c r="B104" s="68" t="str">
        <f>VLOOKUP(Tabelle_Abfrage_von_MS_Access_Database[[#This Row],[LAND]],Texte!$A$4:$C$261,Texte!$A$1+1,FALSE)</f>
        <v>Tansania</v>
      </c>
      <c r="C104" s="68" t="s">
        <v>508</v>
      </c>
      <c r="D104" s="68" t="s">
        <v>557</v>
      </c>
      <c r="E104" s="69">
        <v>6841000</v>
      </c>
      <c r="F104" s="69">
        <v>4996000</v>
      </c>
      <c r="G104" s="69">
        <v>4669000</v>
      </c>
      <c r="H104" s="69">
        <v>8537000</v>
      </c>
      <c r="I104" s="69">
        <v>11867000</v>
      </c>
      <c r="J104" s="69">
        <v>6238000</v>
      </c>
      <c r="K104" s="69">
        <v>4337000</v>
      </c>
      <c r="L104" s="69">
        <v>6465000</v>
      </c>
      <c r="M104" s="69">
        <v>3299000</v>
      </c>
      <c r="N104" s="69">
        <v>6501000</v>
      </c>
      <c r="O104" s="69">
        <v>3114000</v>
      </c>
      <c r="P104" s="69">
        <v>3004000</v>
      </c>
      <c r="Q104" s="69">
        <v>3637000</v>
      </c>
      <c r="R104" s="69">
        <v>2997000</v>
      </c>
      <c r="S104" s="69">
        <v>6221000</v>
      </c>
      <c r="T104" s="69">
        <v>3254000</v>
      </c>
      <c r="U104" s="69">
        <v>5371000</v>
      </c>
      <c r="V104" s="69">
        <v>3250004</v>
      </c>
      <c r="W104" s="69">
        <v>2400528</v>
      </c>
      <c r="X104" s="69">
        <v>2468764</v>
      </c>
      <c r="Y104" s="69">
        <v>1992041</v>
      </c>
      <c r="Z104" s="69">
        <v>1779400</v>
      </c>
      <c r="AA104" s="69">
        <v>2691368</v>
      </c>
      <c r="AB104" s="69">
        <v>8232274</v>
      </c>
      <c r="AC104" s="69">
        <v>3235800</v>
      </c>
      <c r="AD104" s="69">
        <v>2995062</v>
      </c>
      <c r="AE104" s="69">
        <v>5130009</v>
      </c>
      <c r="AF104" s="69">
        <v>3436124</v>
      </c>
      <c r="AG104" s="69">
        <v>8589047</v>
      </c>
      <c r="AH104" s="69">
        <v>5496903</v>
      </c>
      <c r="AI104" s="69">
        <v>13952109</v>
      </c>
      <c r="AJ104" s="69">
        <v>8443280</v>
      </c>
      <c r="AK104" s="69">
        <v>9699515</v>
      </c>
      <c r="AL104" s="69">
        <v>17833527</v>
      </c>
      <c r="AM104" s="69">
        <v>11909428</v>
      </c>
      <c r="AN104" s="69">
        <v>13374097</v>
      </c>
      <c r="AO104" s="69">
        <v>18574854</v>
      </c>
      <c r="AP104" s="69">
        <v>15292481</v>
      </c>
      <c r="AQ104" s="69">
        <v>9383440</v>
      </c>
      <c r="AR104" s="69">
        <v>11803109</v>
      </c>
      <c r="AS104" s="69">
        <v>12691872</v>
      </c>
      <c r="AT104" s="69">
        <v>23008170</v>
      </c>
      <c r="AU104" s="69">
        <v>18474865</v>
      </c>
      <c r="AV104">
        <v>13741309</v>
      </c>
      <c r="AW104">
        <v>13831378</v>
      </c>
      <c r="AX104">
        <v>30585627</v>
      </c>
    </row>
    <row r="105" spans="1:50" ht="14.5" x14ac:dyDescent="0.35">
      <c r="A105" s="68" t="s">
        <v>205</v>
      </c>
      <c r="B105" s="68" t="str">
        <f>VLOOKUP(Tabelle_Abfrage_von_MS_Access_Database[[#This Row],[LAND]],Texte!$A$4:$C$261,Texte!$A$1+1,FALSE)</f>
        <v>Seychellen</v>
      </c>
      <c r="C105" s="68" t="s">
        <v>508</v>
      </c>
      <c r="D105" s="68" t="s">
        <v>557</v>
      </c>
      <c r="E105" s="69">
        <v>19000</v>
      </c>
      <c r="F105" s="69">
        <v>48000</v>
      </c>
      <c r="G105" s="69">
        <v>540000</v>
      </c>
      <c r="H105" s="69">
        <v>1043000</v>
      </c>
      <c r="I105" s="69">
        <v>63000</v>
      </c>
      <c r="J105" s="69">
        <v>32000</v>
      </c>
      <c r="K105" s="69">
        <v>50000</v>
      </c>
      <c r="L105" s="69">
        <v>193000</v>
      </c>
      <c r="M105" s="69">
        <v>704000</v>
      </c>
      <c r="N105" s="69">
        <v>71000</v>
      </c>
      <c r="O105" s="69">
        <v>77000</v>
      </c>
      <c r="P105" s="69">
        <v>197000</v>
      </c>
      <c r="Q105" s="69">
        <v>221000</v>
      </c>
      <c r="R105" s="69">
        <v>251000</v>
      </c>
      <c r="S105" s="69">
        <v>172000</v>
      </c>
      <c r="T105" s="69">
        <v>180000</v>
      </c>
      <c r="U105" s="69">
        <v>359000</v>
      </c>
      <c r="V105" s="69">
        <v>248542</v>
      </c>
      <c r="W105" s="69">
        <v>39170</v>
      </c>
      <c r="X105" s="69">
        <v>218816</v>
      </c>
      <c r="Y105" s="69">
        <v>337566</v>
      </c>
      <c r="Z105" s="69">
        <v>805145</v>
      </c>
      <c r="AA105" s="69">
        <v>384002</v>
      </c>
      <c r="AB105" s="69">
        <v>971863</v>
      </c>
      <c r="AC105" s="69">
        <v>953614</v>
      </c>
      <c r="AD105" s="69">
        <v>820605</v>
      </c>
      <c r="AE105" s="69">
        <v>1507581</v>
      </c>
      <c r="AF105" s="69">
        <v>805899</v>
      </c>
      <c r="AG105" s="69">
        <v>833904</v>
      </c>
      <c r="AH105" s="69">
        <v>737237</v>
      </c>
      <c r="AI105" s="69">
        <v>1034845</v>
      </c>
      <c r="AJ105" s="69">
        <v>582133</v>
      </c>
      <c r="AK105" s="69">
        <v>1012695</v>
      </c>
      <c r="AL105" s="69">
        <v>1222913</v>
      </c>
      <c r="AM105" s="69">
        <v>627902</v>
      </c>
      <c r="AN105" s="69">
        <v>1507472</v>
      </c>
      <c r="AO105" s="69">
        <v>1088240</v>
      </c>
      <c r="AP105" s="69">
        <v>1909610</v>
      </c>
      <c r="AQ105" s="69">
        <v>929200</v>
      </c>
      <c r="AR105" s="69">
        <v>1535921</v>
      </c>
      <c r="AS105" s="69">
        <v>1197604</v>
      </c>
      <c r="AT105" s="69">
        <v>901798</v>
      </c>
      <c r="AU105" s="69">
        <v>727737</v>
      </c>
      <c r="AV105">
        <v>830244</v>
      </c>
      <c r="AW105">
        <v>640214</v>
      </c>
      <c r="AX105">
        <v>1478180</v>
      </c>
    </row>
    <row r="106" spans="1:50" ht="14.5" x14ac:dyDescent="0.35">
      <c r="A106" s="68" t="s">
        <v>207</v>
      </c>
      <c r="B106" s="68" t="str">
        <f>VLOOKUP(Tabelle_Abfrage_von_MS_Access_Database[[#This Row],[LAND]],Texte!$A$4:$C$261,Texte!$A$1+1,FALSE)</f>
        <v>Brit.Geb.im Ind.Ozean</v>
      </c>
      <c r="C106" s="68" t="s">
        <v>516</v>
      </c>
      <c r="D106" s="68" t="s">
        <v>557</v>
      </c>
      <c r="E106" s="69">
        <v>0</v>
      </c>
      <c r="F106" s="69">
        <v>0</v>
      </c>
      <c r="G106" s="69">
        <v>0</v>
      </c>
      <c r="H106" s="69">
        <v>0</v>
      </c>
      <c r="I106" s="69">
        <v>0</v>
      </c>
      <c r="J106" s="69">
        <v>0</v>
      </c>
      <c r="K106" s="69">
        <v>0</v>
      </c>
      <c r="L106" s="69">
        <v>0</v>
      </c>
      <c r="M106" s="69">
        <v>2000</v>
      </c>
      <c r="N106" s="69">
        <v>1000</v>
      </c>
      <c r="O106" s="69">
        <v>360000</v>
      </c>
      <c r="P106" s="69">
        <v>895000</v>
      </c>
      <c r="Q106" s="69">
        <v>16000</v>
      </c>
      <c r="R106" s="69">
        <v>22000</v>
      </c>
      <c r="S106" s="69">
        <v>28000</v>
      </c>
      <c r="T106" s="69">
        <v>9000</v>
      </c>
      <c r="U106" s="69">
        <v>59000</v>
      </c>
      <c r="V106" s="69">
        <v>73</v>
      </c>
      <c r="W106" s="69">
        <v>0</v>
      </c>
      <c r="X106" s="69">
        <v>111262</v>
      </c>
      <c r="Y106" s="69">
        <v>0</v>
      </c>
      <c r="Z106" s="69">
        <v>18314</v>
      </c>
      <c r="AA106" s="69">
        <v>22965</v>
      </c>
      <c r="AB106" s="69">
        <v>62757</v>
      </c>
      <c r="AC106" s="69">
        <v>16105</v>
      </c>
      <c r="AD106" s="69">
        <v>6568</v>
      </c>
      <c r="AE106" s="69">
        <v>321702</v>
      </c>
      <c r="AF106" s="69">
        <v>35361</v>
      </c>
      <c r="AG106" s="69">
        <v>1805</v>
      </c>
      <c r="AH106" s="69">
        <v>0</v>
      </c>
      <c r="AI106" s="69">
        <v>0</v>
      </c>
      <c r="AJ106" s="69">
        <v>2308</v>
      </c>
      <c r="AK106" s="69">
        <v>0</v>
      </c>
      <c r="AL106" s="69">
        <v>8623</v>
      </c>
      <c r="AM106" s="69">
        <v>0</v>
      </c>
      <c r="AN106" s="70"/>
      <c r="AO106" s="70"/>
      <c r="AP106" s="70"/>
      <c r="AQ106" s="70"/>
      <c r="AR106" s="70"/>
      <c r="AS106" s="70"/>
      <c r="AT106" s="70"/>
      <c r="AU106" s="70"/>
      <c r="AX106">
        <v>0</v>
      </c>
    </row>
    <row r="107" spans="1:50" ht="14.5" x14ac:dyDescent="0.35">
      <c r="A107" s="68" t="s">
        <v>209</v>
      </c>
      <c r="B107" s="68" t="str">
        <f>VLOOKUP(Tabelle_Abfrage_von_MS_Access_Database[[#This Row],[LAND]],Texte!$A$4:$C$261,Texte!$A$1+1,FALSE)</f>
        <v>Mosambik</v>
      </c>
      <c r="C107" s="68" t="s">
        <v>508</v>
      </c>
      <c r="D107" s="68" t="s">
        <v>557</v>
      </c>
      <c r="E107" s="69">
        <v>793000</v>
      </c>
      <c r="F107" s="69">
        <v>845000</v>
      </c>
      <c r="G107" s="69">
        <v>930000</v>
      </c>
      <c r="H107" s="69">
        <v>1634000</v>
      </c>
      <c r="I107" s="69">
        <v>4602000</v>
      </c>
      <c r="J107" s="69">
        <v>852000</v>
      </c>
      <c r="K107" s="69">
        <v>4035000</v>
      </c>
      <c r="L107" s="69">
        <v>517000</v>
      </c>
      <c r="M107" s="69">
        <v>4704000</v>
      </c>
      <c r="N107" s="69">
        <v>2244000</v>
      </c>
      <c r="O107" s="69">
        <v>1001000</v>
      </c>
      <c r="P107" s="69">
        <v>3214000</v>
      </c>
      <c r="Q107" s="69">
        <v>998000</v>
      </c>
      <c r="R107" s="69">
        <v>708000</v>
      </c>
      <c r="S107" s="69">
        <v>572000</v>
      </c>
      <c r="T107" s="69">
        <v>1200000</v>
      </c>
      <c r="U107" s="69">
        <v>1249000</v>
      </c>
      <c r="V107" s="69">
        <v>1398732</v>
      </c>
      <c r="W107" s="69">
        <v>655873</v>
      </c>
      <c r="X107" s="69">
        <v>433203</v>
      </c>
      <c r="Y107" s="69">
        <v>1512319</v>
      </c>
      <c r="Z107" s="69">
        <v>2209690</v>
      </c>
      <c r="AA107" s="69">
        <v>1354768</v>
      </c>
      <c r="AB107" s="69">
        <v>1067911</v>
      </c>
      <c r="AC107" s="69">
        <v>1168582</v>
      </c>
      <c r="AD107" s="69">
        <v>602201</v>
      </c>
      <c r="AE107" s="69">
        <v>2240359</v>
      </c>
      <c r="AF107" s="69">
        <v>991105</v>
      </c>
      <c r="AG107" s="69">
        <v>1621704</v>
      </c>
      <c r="AH107" s="69">
        <v>3435562</v>
      </c>
      <c r="AI107" s="69">
        <v>1804291</v>
      </c>
      <c r="AJ107" s="69">
        <v>4709842</v>
      </c>
      <c r="AK107" s="69">
        <v>2442704</v>
      </c>
      <c r="AL107" s="69">
        <v>2159991</v>
      </c>
      <c r="AM107" s="69">
        <v>4585439</v>
      </c>
      <c r="AN107" s="69">
        <v>19531300</v>
      </c>
      <c r="AO107" s="69">
        <v>15254032</v>
      </c>
      <c r="AP107" s="69">
        <v>3230639</v>
      </c>
      <c r="AQ107" s="69">
        <v>5449769</v>
      </c>
      <c r="AR107" s="69">
        <v>5039569</v>
      </c>
      <c r="AS107" s="69">
        <v>7112068</v>
      </c>
      <c r="AT107" s="69">
        <v>4985734</v>
      </c>
      <c r="AU107" s="69">
        <v>10483565</v>
      </c>
      <c r="AV107">
        <v>8523568</v>
      </c>
      <c r="AW107">
        <v>7089054</v>
      </c>
      <c r="AX107">
        <v>8501891</v>
      </c>
    </row>
    <row r="108" spans="1:50" ht="14.5" x14ac:dyDescent="0.35">
      <c r="A108" s="68" t="s">
        <v>211</v>
      </c>
      <c r="B108" s="68" t="str">
        <f>VLOOKUP(Tabelle_Abfrage_von_MS_Access_Database[[#This Row],[LAND]],Texte!$A$4:$C$261,Texte!$A$1+1,FALSE)</f>
        <v>Madagaskar</v>
      </c>
      <c r="C108" s="68" t="s">
        <v>508</v>
      </c>
      <c r="D108" s="68" t="s">
        <v>557</v>
      </c>
      <c r="E108" s="69">
        <v>515000</v>
      </c>
      <c r="F108" s="69">
        <v>496000</v>
      </c>
      <c r="G108" s="69">
        <v>1738000</v>
      </c>
      <c r="H108" s="69">
        <v>1612000</v>
      </c>
      <c r="I108" s="69">
        <v>1779000</v>
      </c>
      <c r="J108" s="69">
        <v>4587000</v>
      </c>
      <c r="K108" s="69">
        <v>888000</v>
      </c>
      <c r="L108" s="69">
        <v>731000</v>
      </c>
      <c r="M108" s="69">
        <v>595000</v>
      </c>
      <c r="N108" s="69">
        <v>919000</v>
      </c>
      <c r="O108" s="69">
        <v>1011000</v>
      </c>
      <c r="P108" s="69">
        <v>650000</v>
      </c>
      <c r="Q108" s="69">
        <v>554000</v>
      </c>
      <c r="R108" s="69">
        <v>880000</v>
      </c>
      <c r="S108" s="69">
        <v>397000</v>
      </c>
      <c r="T108" s="69">
        <v>702000</v>
      </c>
      <c r="U108" s="69">
        <v>393000</v>
      </c>
      <c r="V108" s="69">
        <v>772950</v>
      </c>
      <c r="W108" s="69">
        <v>535816</v>
      </c>
      <c r="X108" s="69">
        <v>772656</v>
      </c>
      <c r="Y108" s="69">
        <v>1262619</v>
      </c>
      <c r="Z108" s="69">
        <v>723168</v>
      </c>
      <c r="AA108" s="69">
        <v>1117928</v>
      </c>
      <c r="AB108" s="69">
        <v>1034136</v>
      </c>
      <c r="AC108" s="69">
        <v>823813</v>
      </c>
      <c r="AD108" s="69">
        <v>3368142</v>
      </c>
      <c r="AE108" s="69">
        <v>397493</v>
      </c>
      <c r="AF108" s="69">
        <v>781149</v>
      </c>
      <c r="AG108" s="69">
        <v>806009</v>
      </c>
      <c r="AH108" s="69">
        <v>1632489</v>
      </c>
      <c r="AI108" s="69">
        <v>3747606</v>
      </c>
      <c r="AJ108" s="69">
        <v>2473384</v>
      </c>
      <c r="AK108" s="69">
        <v>924100</v>
      </c>
      <c r="AL108" s="69">
        <v>847276</v>
      </c>
      <c r="AM108" s="69">
        <v>1148261</v>
      </c>
      <c r="AN108" s="69">
        <v>999732</v>
      </c>
      <c r="AO108" s="69">
        <v>1046617</v>
      </c>
      <c r="AP108" s="69">
        <v>1009499</v>
      </c>
      <c r="AQ108" s="69">
        <v>1441588</v>
      </c>
      <c r="AR108" s="69">
        <v>1864768</v>
      </c>
      <c r="AS108" s="69">
        <v>2041560</v>
      </c>
      <c r="AT108" s="69">
        <v>2635992</v>
      </c>
      <c r="AU108" s="69">
        <v>1928971</v>
      </c>
      <c r="AV108">
        <v>2419079</v>
      </c>
      <c r="AW108">
        <v>3529965</v>
      </c>
      <c r="AX108">
        <v>3598674</v>
      </c>
    </row>
    <row r="109" spans="1:50" ht="14.5" x14ac:dyDescent="0.35">
      <c r="A109" s="68" t="s">
        <v>213</v>
      </c>
      <c r="B109" s="68" t="str">
        <f>VLOOKUP(Tabelle_Abfrage_von_MS_Access_Database[[#This Row],[LAND]],Texte!$A$4:$C$261,Texte!$A$1+1,FALSE)</f>
        <v>Reunion</v>
      </c>
      <c r="C109" s="68" t="s">
        <v>508</v>
      </c>
      <c r="D109" s="68" t="s">
        <v>526</v>
      </c>
      <c r="E109" s="69">
        <v>302000</v>
      </c>
      <c r="F109" s="69">
        <v>263000</v>
      </c>
      <c r="G109" s="69">
        <v>380000</v>
      </c>
      <c r="H109" s="69">
        <v>302000</v>
      </c>
      <c r="I109" s="69">
        <v>525000</v>
      </c>
      <c r="J109" s="69">
        <v>368000</v>
      </c>
      <c r="K109" s="69">
        <v>323000</v>
      </c>
      <c r="L109" s="69">
        <v>563000</v>
      </c>
      <c r="M109" s="69">
        <v>979000</v>
      </c>
      <c r="N109" s="69">
        <v>752000</v>
      </c>
      <c r="O109" s="69">
        <v>794000</v>
      </c>
      <c r="P109" s="69">
        <v>1619000</v>
      </c>
      <c r="Q109" s="69">
        <v>1461000</v>
      </c>
      <c r="R109" s="69">
        <v>1229000</v>
      </c>
      <c r="S109" s="69">
        <v>1622000</v>
      </c>
      <c r="T109" s="69">
        <v>1263000</v>
      </c>
      <c r="U109" s="69">
        <v>1472000</v>
      </c>
      <c r="V109" s="69">
        <v>864954</v>
      </c>
      <c r="W109" s="69">
        <v>810154</v>
      </c>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row>
    <row r="110" spans="1:50" ht="14.5" x14ac:dyDescent="0.35">
      <c r="A110" s="68" t="s">
        <v>215</v>
      </c>
      <c r="B110" s="68" t="str">
        <f>VLOOKUP(Tabelle_Abfrage_von_MS_Access_Database[[#This Row],[LAND]],Texte!$A$4:$C$261,Texte!$A$1+1,FALSE)</f>
        <v>Mauritius</v>
      </c>
      <c r="C110" s="68" t="s">
        <v>508</v>
      </c>
      <c r="D110" s="68" t="s">
        <v>557</v>
      </c>
      <c r="E110" s="69">
        <v>418000</v>
      </c>
      <c r="F110" s="69">
        <v>677000</v>
      </c>
      <c r="G110" s="69">
        <v>439000</v>
      </c>
      <c r="H110" s="69">
        <v>559000</v>
      </c>
      <c r="I110" s="69">
        <v>510000</v>
      </c>
      <c r="J110" s="69">
        <v>818000</v>
      </c>
      <c r="K110" s="69">
        <v>2064000</v>
      </c>
      <c r="L110" s="69">
        <v>908000</v>
      </c>
      <c r="M110" s="69">
        <v>1316000</v>
      </c>
      <c r="N110" s="69">
        <v>1483000</v>
      </c>
      <c r="O110" s="69">
        <v>1335000</v>
      </c>
      <c r="P110" s="69">
        <v>2808000</v>
      </c>
      <c r="Q110" s="69">
        <v>1683000</v>
      </c>
      <c r="R110" s="69">
        <v>977000</v>
      </c>
      <c r="S110" s="69">
        <v>1998000</v>
      </c>
      <c r="T110" s="69">
        <v>1406000</v>
      </c>
      <c r="U110" s="69">
        <v>1997000</v>
      </c>
      <c r="V110" s="69">
        <v>2280761</v>
      </c>
      <c r="W110" s="69">
        <v>3197756</v>
      </c>
      <c r="X110" s="69">
        <v>2427489</v>
      </c>
      <c r="Y110" s="69">
        <v>2412161</v>
      </c>
      <c r="Z110" s="69">
        <v>4469743</v>
      </c>
      <c r="AA110" s="69">
        <v>4363496</v>
      </c>
      <c r="AB110" s="69">
        <v>2887567</v>
      </c>
      <c r="AC110" s="69">
        <v>3240737</v>
      </c>
      <c r="AD110" s="69">
        <v>3960534</v>
      </c>
      <c r="AE110" s="69">
        <v>3072422</v>
      </c>
      <c r="AF110" s="69">
        <v>4719094</v>
      </c>
      <c r="AG110" s="69">
        <v>4488384</v>
      </c>
      <c r="AH110" s="69">
        <v>5060791</v>
      </c>
      <c r="AI110" s="69">
        <v>9640685</v>
      </c>
      <c r="AJ110" s="69">
        <v>8323448</v>
      </c>
      <c r="AK110" s="69">
        <v>7446752</v>
      </c>
      <c r="AL110" s="69">
        <v>10129440</v>
      </c>
      <c r="AM110" s="69">
        <v>8764889</v>
      </c>
      <c r="AN110" s="69">
        <v>6927626</v>
      </c>
      <c r="AO110" s="69">
        <v>9239248</v>
      </c>
      <c r="AP110" s="69">
        <v>8131665</v>
      </c>
      <c r="AQ110" s="69">
        <v>6904637</v>
      </c>
      <c r="AR110" s="69">
        <v>7911697</v>
      </c>
      <c r="AS110" s="69">
        <v>8244450</v>
      </c>
      <c r="AT110" s="69">
        <v>15861251</v>
      </c>
      <c r="AU110" s="69">
        <v>6749492</v>
      </c>
      <c r="AV110">
        <v>11115978</v>
      </c>
      <c r="AW110">
        <v>18437423</v>
      </c>
      <c r="AX110">
        <v>10842164</v>
      </c>
    </row>
    <row r="111" spans="1:50" ht="14.5" x14ac:dyDescent="0.35">
      <c r="A111" s="68" t="s">
        <v>217</v>
      </c>
      <c r="B111" s="68" t="str">
        <f>VLOOKUP(Tabelle_Abfrage_von_MS_Access_Database[[#This Row],[LAND]],Texte!$A$4:$C$261,Texte!$A$1+1,FALSE)</f>
        <v>Komoren</v>
      </c>
      <c r="C111" s="68" t="s">
        <v>508</v>
      </c>
      <c r="D111" s="68" t="s">
        <v>557</v>
      </c>
      <c r="E111" s="69">
        <v>0</v>
      </c>
      <c r="F111" s="69">
        <v>0</v>
      </c>
      <c r="G111" s="69">
        <v>44000</v>
      </c>
      <c r="H111" s="69">
        <v>0</v>
      </c>
      <c r="I111" s="69">
        <v>2000</v>
      </c>
      <c r="J111" s="69">
        <v>8000</v>
      </c>
      <c r="K111" s="69">
        <v>11000</v>
      </c>
      <c r="L111" s="69">
        <v>0</v>
      </c>
      <c r="M111" s="69">
        <v>37000</v>
      </c>
      <c r="N111" s="69">
        <v>17000</v>
      </c>
      <c r="O111" s="69">
        <v>0</v>
      </c>
      <c r="P111" s="69">
        <v>1000</v>
      </c>
      <c r="Q111" s="69">
        <v>101000</v>
      </c>
      <c r="R111" s="69">
        <v>33000</v>
      </c>
      <c r="S111" s="69">
        <v>19000</v>
      </c>
      <c r="T111" s="69">
        <v>34000</v>
      </c>
      <c r="U111" s="69">
        <v>11000</v>
      </c>
      <c r="V111" s="69">
        <v>0</v>
      </c>
      <c r="W111" s="69">
        <v>0</v>
      </c>
      <c r="X111" s="69">
        <v>10828</v>
      </c>
      <c r="Y111" s="69">
        <v>0</v>
      </c>
      <c r="Z111" s="69">
        <v>31612</v>
      </c>
      <c r="AA111" s="69">
        <v>2252</v>
      </c>
      <c r="AB111" s="69">
        <v>0</v>
      </c>
      <c r="AC111" s="69">
        <v>0</v>
      </c>
      <c r="AD111" s="69">
        <v>0</v>
      </c>
      <c r="AE111" s="69">
        <v>5347</v>
      </c>
      <c r="AF111" s="69">
        <v>0</v>
      </c>
      <c r="AG111" s="69">
        <v>32467</v>
      </c>
      <c r="AH111" s="69">
        <v>0</v>
      </c>
      <c r="AI111" s="69">
        <v>14307</v>
      </c>
      <c r="AJ111" s="69">
        <v>0</v>
      </c>
      <c r="AK111" s="69">
        <v>4693</v>
      </c>
      <c r="AL111" s="69">
        <v>29714</v>
      </c>
      <c r="AM111" s="69">
        <v>70916</v>
      </c>
      <c r="AN111" s="69">
        <v>0</v>
      </c>
      <c r="AO111" s="69">
        <v>11048</v>
      </c>
      <c r="AP111" s="69">
        <v>62371</v>
      </c>
      <c r="AQ111" s="69">
        <v>59009</v>
      </c>
      <c r="AR111" s="69">
        <v>6629</v>
      </c>
      <c r="AS111" s="69">
        <v>6798</v>
      </c>
      <c r="AT111" s="69">
        <v>8820</v>
      </c>
      <c r="AU111" s="69">
        <v>516099</v>
      </c>
      <c r="AV111">
        <v>6280</v>
      </c>
      <c r="AW111">
        <v>149990</v>
      </c>
      <c r="AX111">
        <v>37803</v>
      </c>
    </row>
    <row r="112" spans="1:50" ht="14.5" x14ac:dyDescent="0.35">
      <c r="A112" s="68" t="s">
        <v>219</v>
      </c>
      <c r="B112" s="68" t="str">
        <f>VLOOKUP(Tabelle_Abfrage_von_MS_Access_Database[[#This Row],[LAND]],Texte!$A$4:$C$261,Texte!$A$1+1,FALSE)</f>
        <v>Mayotte</v>
      </c>
      <c r="C112" s="68" t="s">
        <v>517</v>
      </c>
      <c r="D112" s="68" t="s">
        <v>557</v>
      </c>
      <c r="E112" s="69">
        <v>0</v>
      </c>
      <c r="F112" s="69">
        <v>0</v>
      </c>
      <c r="G112" s="69">
        <v>0</v>
      </c>
      <c r="H112" s="69">
        <v>0</v>
      </c>
      <c r="I112" s="69">
        <v>0</v>
      </c>
      <c r="J112" s="69">
        <v>0</v>
      </c>
      <c r="K112" s="69">
        <v>0</v>
      </c>
      <c r="L112" s="69">
        <v>0</v>
      </c>
      <c r="M112" s="69">
        <v>0</v>
      </c>
      <c r="N112" s="69">
        <v>0</v>
      </c>
      <c r="O112" s="69">
        <v>238000</v>
      </c>
      <c r="P112" s="69">
        <v>1123000</v>
      </c>
      <c r="Q112" s="69">
        <v>133000</v>
      </c>
      <c r="R112" s="69">
        <v>152000</v>
      </c>
      <c r="S112" s="69">
        <v>46000</v>
      </c>
      <c r="T112" s="69">
        <v>77000</v>
      </c>
      <c r="U112" s="69">
        <v>114000</v>
      </c>
      <c r="V112" s="69">
        <v>40696</v>
      </c>
      <c r="W112" s="69">
        <v>0</v>
      </c>
      <c r="X112" s="69">
        <v>46801</v>
      </c>
      <c r="Y112" s="69">
        <v>33502</v>
      </c>
      <c r="Z112" s="70"/>
      <c r="AA112" s="70"/>
      <c r="AB112" s="69">
        <v>0</v>
      </c>
      <c r="AC112" s="69">
        <v>3544</v>
      </c>
      <c r="AD112" s="70"/>
      <c r="AE112" s="69">
        <v>51990</v>
      </c>
      <c r="AF112" s="70"/>
      <c r="AG112" s="69">
        <v>8576</v>
      </c>
      <c r="AH112" s="69">
        <v>510900</v>
      </c>
      <c r="AI112" s="69">
        <v>127219</v>
      </c>
      <c r="AJ112" s="69">
        <v>43958</v>
      </c>
      <c r="AK112" s="69">
        <v>98402</v>
      </c>
      <c r="AL112" s="69">
        <v>77578</v>
      </c>
      <c r="AM112" s="69">
        <v>91435</v>
      </c>
      <c r="AN112" s="69">
        <v>83079</v>
      </c>
      <c r="AO112" s="70"/>
      <c r="AP112" s="70"/>
      <c r="AQ112" s="70"/>
      <c r="AR112" s="70"/>
      <c r="AS112" s="70"/>
      <c r="AT112" s="70"/>
      <c r="AU112" s="70"/>
    </row>
    <row r="113" spans="1:50" ht="14.5" x14ac:dyDescent="0.35">
      <c r="A113" s="68" t="s">
        <v>221</v>
      </c>
      <c r="B113" s="68" t="str">
        <f>VLOOKUP(Tabelle_Abfrage_von_MS_Access_Database[[#This Row],[LAND]],Texte!$A$4:$C$261,Texte!$A$1+1,FALSE)</f>
        <v>Sambia</v>
      </c>
      <c r="C113" s="68" t="s">
        <v>508</v>
      </c>
      <c r="D113" s="68" t="s">
        <v>557</v>
      </c>
      <c r="E113" s="69">
        <v>4317000</v>
      </c>
      <c r="F113" s="69">
        <v>5633000</v>
      </c>
      <c r="G113" s="69">
        <v>4875000</v>
      </c>
      <c r="H113" s="69">
        <v>5670000</v>
      </c>
      <c r="I113" s="69">
        <v>3185000</v>
      </c>
      <c r="J113" s="69">
        <v>2364000</v>
      </c>
      <c r="K113" s="69">
        <v>3759000</v>
      </c>
      <c r="L113" s="69">
        <v>2722000</v>
      </c>
      <c r="M113" s="69">
        <v>5965000</v>
      </c>
      <c r="N113" s="69">
        <v>6107000</v>
      </c>
      <c r="O113" s="69">
        <v>3593000</v>
      </c>
      <c r="P113" s="69">
        <v>3679000</v>
      </c>
      <c r="Q113" s="69">
        <v>2696000</v>
      </c>
      <c r="R113" s="69">
        <v>1962000</v>
      </c>
      <c r="S113" s="69">
        <v>6024000</v>
      </c>
      <c r="T113" s="69">
        <v>2528000</v>
      </c>
      <c r="U113" s="69">
        <v>2081000</v>
      </c>
      <c r="V113" s="69">
        <v>2996010</v>
      </c>
      <c r="W113" s="69">
        <v>2734243</v>
      </c>
      <c r="X113" s="69">
        <v>1080573</v>
      </c>
      <c r="Y113" s="69">
        <v>2553503</v>
      </c>
      <c r="Z113" s="69">
        <v>1276063</v>
      </c>
      <c r="AA113" s="69">
        <v>2308744</v>
      </c>
      <c r="AB113" s="69">
        <v>2497954</v>
      </c>
      <c r="AC113" s="69">
        <v>1554813</v>
      </c>
      <c r="AD113" s="69">
        <v>1877748</v>
      </c>
      <c r="AE113" s="69">
        <v>1028920</v>
      </c>
      <c r="AF113" s="69">
        <v>1581019</v>
      </c>
      <c r="AG113" s="69">
        <v>3177555</v>
      </c>
      <c r="AH113" s="69">
        <v>5917928</v>
      </c>
      <c r="AI113" s="69">
        <v>4538409</v>
      </c>
      <c r="AJ113" s="69">
        <v>5771969</v>
      </c>
      <c r="AK113" s="69">
        <v>2774636</v>
      </c>
      <c r="AL113" s="69">
        <v>4732693</v>
      </c>
      <c r="AM113" s="69">
        <v>3135846</v>
      </c>
      <c r="AN113" s="69">
        <v>9773743</v>
      </c>
      <c r="AO113" s="69">
        <v>6451363</v>
      </c>
      <c r="AP113" s="69">
        <v>7335652</v>
      </c>
      <c r="AQ113" s="69">
        <v>9564275</v>
      </c>
      <c r="AR113" s="69">
        <v>8835135</v>
      </c>
      <c r="AS113" s="69">
        <v>5011063</v>
      </c>
      <c r="AT113" s="69">
        <v>6587224</v>
      </c>
      <c r="AU113" s="69">
        <v>2900170</v>
      </c>
      <c r="AV113">
        <v>3104394</v>
      </c>
      <c r="AW113">
        <v>9006477</v>
      </c>
      <c r="AX113">
        <v>3786614</v>
      </c>
    </row>
    <row r="114" spans="1:50" ht="14.5" x14ac:dyDescent="0.35">
      <c r="A114" s="68" t="s">
        <v>223</v>
      </c>
      <c r="B114" s="68" t="str">
        <f>VLOOKUP(Tabelle_Abfrage_von_MS_Access_Database[[#This Row],[LAND]],Texte!$A$4:$C$261,Texte!$A$1+1,FALSE)</f>
        <v>Simbabwe</v>
      </c>
      <c r="C114" s="68" t="s">
        <v>508</v>
      </c>
      <c r="D114" s="68" t="s">
        <v>557</v>
      </c>
      <c r="E114" s="69">
        <v>12000</v>
      </c>
      <c r="F114" s="69">
        <v>0</v>
      </c>
      <c r="G114" s="69">
        <v>2235000</v>
      </c>
      <c r="H114" s="69">
        <v>10934000</v>
      </c>
      <c r="I114" s="69">
        <v>9549000</v>
      </c>
      <c r="J114" s="69">
        <v>13268000</v>
      </c>
      <c r="K114" s="69">
        <v>8359000</v>
      </c>
      <c r="L114" s="69">
        <v>7298000</v>
      </c>
      <c r="M114" s="69">
        <v>16809000</v>
      </c>
      <c r="N114" s="69">
        <v>8361000</v>
      </c>
      <c r="O114" s="69">
        <v>9939000</v>
      </c>
      <c r="P114" s="69">
        <v>12507000</v>
      </c>
      <c r="Q114" s="69">
        <v>11430000</v>
      </c>
      <c r="R114" s="69">
        <v>16356000</v>
      </c>
      <c r="S114" s="69">
        <v>13209000</v>
      </c>
      <c r="T114" s="69">
        <v>8525000</v>
      </c>
      <c r="U114" s="69">
        <v>5241000</v>
      </c>
      <c r="V114" s="69">
        <v>8247272</v>
      </c>
      <c r="W114" s="69">
        <v>6200513</v>
      </c>
      <c r="X114" s="69">
        <v>7835800</v>
      </c>
      <c r="Y114" s="69">
        <v>10004445</v>
      </c>
      <c r="Z114" s="69">
        <v>4185149</v>
      </c>
      <c r="AA114" s="69">
        <v>2539413</v>
      </c>
      <c r="AB114" s="69">
        <v>9971159</v>
      </c>
      <c r="AC114" s="69">
        <v>4554710</v>
      </c>
      <c r="AD114" s="69">
        <v>2578527</v>
      </c>
      <c r="AE114" s="69">
        <v>2075558</v>
      </c>
      <c r="AF114" s="69">
        <v>1790301</v>
      </c>
      <c r="AG114" s="69">
        <v>1280273</v>
      </c>
      <c r="AH114" s="69">
        <v>705108</v>
      </c>
      <c r="AI114" s="69">
        <v>799977</v>
      </c>
      <c r="AJ114" s="69">
        <v>721872</v>
      </c>
      <c r="AK114" s="69">
        <v>2256178</v>
      </c>
      <c r="AL114" s="69">
        <v>868568</v>
      </c>
      <c r="AM114" s="69">
        <v>890483</v>
      </c>
      <c r="AN114" s="69">
        <v>1463042</v>
      </c>
      <c r="AO114" s="69">
        <v>3770506</v>
      </c>
      <c r="AP114" s="69">
        <v>1382910</v>
      </c>
      <c r="AQ114" s="69">
        <v>2269225</v>
      </c>
      <c r="AR114" s="69">
        <v>3095076</v>
      </c>
      <c r="AS114" s="69">
        <v>5390777</v>
      </c>
      <c r="AT114" s="69">
        <v>1187483</v>
      </c>
      <c r="AU114" s="69">
        <v>2679230</v>
      </c>
      <c r="AV114">
        <v>2822827</v>
      </c>
      <c r="AW114">
        <v>2228241</v>
      </c>
      <c r="AX114">
        <v>7161454</v>
      </c>
    </row>
    <row r="115" spans="1:50" ht="14.5" x14ac:dyDescent="0.35">
      <c r="A115" s="68" t="s">
        <v>225</v>
      </c>
      <c r="B115" s="68" t="str">
        <f>VLOOKUP(Tabelle_Abfrage_von_MS_Access_Database[[#This Row],[LAND]],Texte!$A$4:$C$261,Texte!$A$1+1,FALSE)</f>
        <v>Malawi</v>
      </c>
      <c r="C115" s="68" t="s">
        <v>508</v>
      </c>
      <c r="D115" s="68" t="s">
        <v>557</v>
      </c>
      <c r="E115" s="69">
        <v>1505000</v>
      </c>
      <c r="F115" s="69">
        <v>395000</v>
      </c>
      <c r="G115" s="69">
        <v>991000</v>
      </c>
      <c r="H115" s="69">
        <v>749000</v>
      </c>
      <c r="I115" s="69">
        <v>1613000</v>
      </c>
      <c r="J115" s="69">
        <v>972000</v>
      </c>
      <c r="K115" s="69">
        <v>262000</v>
      </c>
      <c r="L115" s="69">
        <v>941000</v>
      </c>
      <c r="M115" s="69">
        <v>850000</v>
      </c>
      <c r="N115" s="69">
        <v>336000</v>
      </c>
      <c r="O115" s="69">
        <v>662000</v>
      </c>
      <c r="P115" s="69">
        <v>1715000</v>
      </c>
      <c r="Q115" s="69">
        <v>702000</v>
      </c>
      <c r="R115" s="69">
        <v>1487000</v>
      </c>
      <c r="S115" s="69">
        <v>1452000</v>
      </c>
      <c r="T115" s="69">
        <v>1936000</v>
      </c>
      <c r="U115" s="69">
        <v>12407000</v>
      </c>
      <c r="V115" s="69">
        <v>4480934</v>
      </c>
      <c r="W115" s="69">
        <v>1220469</v>
      </c>
      <c r="X115" s="69">
        <v>1135804</v>
      </c>
      <c r="Y115" s="69">
        <v>697441</v>
      </c>
      <c r="Z115" s="69">
        <v>886538</v>
      </c>
      <c r="AA115" s="69">
        <v>660667</v>
      </c>
      <c r="AB115" s="69">
        <v>675561</v>
      </c>
      <c r="AC115" s="69">
        <v>744955</v>
      </c>
      <c r="AD115" s="69">
        <v>649410</v>
      </c>
      <c r="AE115" s="69">
        <v>661203</v>
      </c>
      <c r="AF115" s="69">
        <v>121337</v>
      </c>
      <c r="AG115" s="69">
        <v>487764</v>
      </c>
      <c r="AH115" s="69">
        <v>112146</v>
      </c>
      <c r="AI115" s="69">
        <v>1384623</v>
      </c>
      <c r="AJ115" s="69">
        <v>140229</v>
      </c>
      <c r="AK115" s="69">
        <v>252219</v>
      </c>
      <c r="AL115" s="69">
        <v>155205</v>
      </c>
      <c r="AM115" s="69">
        <v>970218</v>
      </c>
      <c r="AN115" s="69">
        <v>1302877</v>
      </c>
      <c r="AO115" s="69">
        <v>775008</v>
      </c>
      <c r="AP115" s="69">
        <v>939968</v>
      </c>
      <c r="AQ115" s="69">
        <v>2047764</v>
      </c>
      <c r="AR115" s="69">
        <v>10492729</v>
      </c>
      <c r="AS115" s="69">
        <v>4469023</v>
      </c>
      <c r="AT115" s="69">
        <v>2022836</v>
      </c>
      <c r="AU115" s="69">
        <v>1021622</v>
      </c>
      <c r="AV115">
        <v>3206045</v>
      </c>
      <c r="AW115">
        <v>1476283</v>
      </c>
      <c r="AX115">
        <v>709126</v>
      </c>
    </row>
    <row r="116" spans="1:50" ht="14.5" x14ac:dyDescent="0.35">
      <c r="A116" s="68" t="s">
        <v>227</v>
      </c>
      <c r="B116" s="68" t="str">
        <f>VLOOKUP(Tabelle_Abfrage_von_MS_Access_Database[[#This Row],[LAND]],Texte!$A$4:$C$261,Texte!$A$1+1,FALSE)</f>
        <v>Südafrika</v>
      </c>
      <c r="C116" s="68" t="s">
        <v>508</v>
      </c>
      <c r="D116" s="68" t="s">
        <v>557</v>
      </c>
      <c r="E116" s="69">
        <v>43921000</v>
      </c>
      <c r="F116" s="69">
        <v>57203000</v>
      </c>
      <c r="G116" s="69">
        <v>80243000</v>
      </c>
      <c r="H116" s="69">
        <v>103205000</v>
      </c>
      <c r="I116" s="69">
        <v>91174000</v>
      </c>
      <c r="J116" s="69">
        <v>88386000</v>
      </c>
      <c r="K116" s="69">
        <v>112374000</v>
      </c>
      <c r="L116" s="69">
        <v>93572000</v>
      </c>
      <c r="M116" s="69">
        <v>83276000</v>
      </c>
      <c r="N116" s="69">
        <v>68500000</v>
      </c>
      <c r="O116" s="69">
        <v>87140000</v>
      </c>
      <c r="P116" s="69">
        <v>97917000</v>
      </c>
      <c r="Q116" s="69">
        <v>86732000</v>
      </c>
      <c r="R116" s="69">
        <v>89516000</v>
      </c>
      <c r="S116" s="69">
        <v>78704000</v>
      </c>
      <c r="T116" s="69">
        <v>90861000</v>
      </c>
      <c r="U116" s="69">
        <v>133650000</v>
      </c>
      <c r="V116" s="69">
        <v>124493276</v>
      </c>
      <c r="W116" s="69">
        <v>131872763</v>
      </c>
      <c r="X116" s="69">
        <v>158189590</v>
      </c>
      <c r="Y116" s="69">
        <v>172095364</v>
      </c>
      <c r="Z116" s="69">
        <v>194852510</v>
      </c>
      <c r="AA116" s="69">
        <v>316534277</v>
      </c>
      <c r="AB116" s="69">
        <v>329789503</v>
      </c>
      <c r="AC116" s="69">
        <v>304522560</v>
      </c>
      <c r="AD116" s="69">
        <v>335441976</v>
      </c>
      <c r="AE116" s="69">
        <v>398999082</v>
      </c>
      <c r="AF116" s="69">
        <v>473283023</v>
      </c>
      <c r="AG116" s="69">
        <v>554317337</v>
      </c>
      <c r="AH116" s="69">
        <v>607248333</v>
      </c>
      <c r="AI116" s="69">
        <v>503261259</v>
      </c>
      <c r="AJ116" s="69">
        <v>424102556</v>
      </c>
      <c r="AK116" s="69">
        <v>446725189</v>
      </c>
      <c r="AL116" s="69">
        <v>511885414</v>
      </c>
      <c r="AM116" s="69">
        <v>548434139</v>
      </c>
      <c r="AN116" s="69">
        <v>506336280</v>
      </c>
      <c r="AO116" s="69">
        <v>476763325</v>
      </c>
      <c r="AP116" s="69">
        <v>488111743</v>
      </c>
      <c r="AQ116" s="69">
        <v>435316541</v>
      </c>
      <c r="AR116" s="69">
        <v>426972576</v>
      </c>
      <c r="AS116" s="69">
        <v>588140080</v>
      </c>
      <c r="AT116" s="69">
        <v>608228071</v>
      </c>
      <c r="AU116" s="69">
        <v>458425571</v>
      </c>
      <c r="AV116">
        <v>602067605</v>
      </c>
      <c r="AW116">
        <v>678176503</v>
      </c>
      <c r="AX116">
        <v>778679731</v>
      </c>
    </row>
    <row r="117" spans="1:50" ht="14.5" x14ac:dyDescent="0.35">
      <c r="A117" s="68" t="s">
        <v>229</v>
      </c>
      <c r="B117" s="68" t="str">
        <f>VLOOKUP(Tabelle_Abfrage_von_MS_Access_Database[[#This Row],[LAND]],Texte!$A$4:$C$261,Texte!$A$1+1,FALSE)</f>
        <v>Namibia</v>
      </c>
      <c r="C117" s="68" t="s">
        <v>508</v>
      </c>
      <c r="D117" s="68" t="s">
        <v>557</v>
      </c>
      <c r="E117" s="69">
        <v>370000</v>
      </c>
      <c r="F117" s="69">
        <v>287000</v>
      </c>
      <c r="G117" s="69">
        <v>488000</v>
      </c>
      <c r="H117" s="69">
        <v>1458000</v>
      </c>
      <c r="I117" s="69">
        <v>809000</v>
      </c>
      <c r="J117" s="69">
        <v>1844000</v>
      </c>
      <c r="K117" s="69">
        <v>1190000</v>
      </c>
      <c r="L117" s="69">
        <v>886000</v>
      </c>
      <c r="M117" s="69">
        <v>650000</v>
      </c>
      <c r="N117" s="69">
        <v>323000</v>
      </c>
      <c r="O117" s="69">
        <v>407000</v>
      </c>
      <c r="P117" s="69">
        <v>1865000</v>
      </c>
      <c r="Q117" s="69">
        <v>1545000</v>
      </c>
      <c r="R117" s="69">
        <v>2111000</v>
      </c>
      <c r="S117" s="69">
        <v>2087000</v>
      </c>
      <c r="T117" s="69">
        <v>651000</v>
      </c>
      <c r="U117" s="69">
        <v>754000</v>
      </c>
      <c r="V117" s="69">
        <v>1269665</v>
      </c>
      <c r="W117" s="69">
        <v>3907039</v>
      </c>
      <c r="X117" s="69">
        <v>797726</v>
      </c>
      <c r="Y117" s="69">
        <v>394032</v>
      </c>
      <c r="Z117" s="69">
        <v>1206442</v>
      </c>
      <c r="AA117" s="69">
        <v>927668</v>
      </c>
      <c r="AB117" s="69">
        <v>2898399</v>
      </c>
      <c r="AC117" s="69">
        <v>676070</v>
      </c>
      <c r="AD117" s="69">
        <v>3899220</v>
      </c>
      <c r="AE117" s="69">
        <v>519808</v>
      </c>
      <c r="AF117" s="69">
        <v>747988</v>
      </c>
      <c r="AG117" s="69">
        <v>3557164</v>
      </c>
      <c r="AH117" s="69">
        <v>6560858</v>
      </c>
      <c r="AI117" s="69">
        <v>2505848</v>
      </c>
      <c r="AJ117" s="69">
        <v>6866566</v>
      </c>
      <c r="AK117" s="69">
        <v>9184408</v>
      </c>
      <c r="AL117" s="69">
        <v>12311951</v>
      </c>
      <c r="AM117" s="69">
        <v>5580348</v>
      </c>
      <c r="AN117" s="69">
        <v>6034134</v>
      </c>
      <c r="AO117" s="69">
        <v>9818792</v>
      </c>
      <c r="AP117" s="69">
        <v>13935482</v>
      </c>
      <c r="AQ117" s="69">
        <v>6790820</v>
      </c>
      <c r="AR117" s="69">
        <v>6257513</v>
      </c>
      <c r="AS117" s="69">
        <v>2841355</v>
      </c>
      <c r="AT117" s="69">
        <v>17511937</v>
      </c>
      <c r="AU117" s="69">
        <v>10241646</v>
      </c>
      <c r="AV117">
        <v>5837640</v>
      </c>
      <c r="AW117">
        <v>17241323</v>
      </c>
      <c r="AX117">
        <v>12104548</v>
      </c>
    </row>
    <row r="118" spans="1:50" ht="14.5" x14ac:dyDescent="0.35">
      <c r="A118" s="68" t="s">
        <v>231</v>
      </c>
      <c r="B118" s="68" t="str">
        <f>VLOOKUP(Tabelle_Abfrage_von_MS_Access_Database[[#This Row],[LAND]],Texte!$A$4:$C$261,Texte!$A$1+1,FALSE)</f>
        <v>Botsuana</v>
      </c>
      <c r="C118" s="68" t="s">
        <v>508</v>
      </c>
      <c r="D118" s="68" t="s">
        <v>557</v>
      </c>
      <c r="E118" s="69">
        <v>533000</v>
      </c>
      <c r="F118" s="69">
        <v>56000</v>
      </c>
      <c r="G118" s="69">
        <v>14000</v>
      </c>
      <c r="H118" s="69">
        <v>646000</v>
      </c>
      <c r="I118" s="69">
        <v>9000</v>
      </c>
      <c r="J118" s="69">
        <v>494000</v>
      </c>
      <c r="K118" s="69">
        <v>146000</v>
      </c>
      <c r="L118" s="69">
        <v>1570000</v>
      </c>
      <c r="M118" s="69">
        <v>839000</v>
      </c>
      <c r="N118" s="69">
        <v>347000</v>
      </c>
      <c r="O118" s="69">
        <v>80000</v>
      </c>
      <c r="P118" s="69">
        <v>1258000</v>
      </c>
      <c r="Q118" s="69">
        <v>388000</v>
      </c>
      <c r="R118" s="69">
        <v>92000</v>
      </c>
      <c r="S118" s="69">
        <v>927000</v>
      </c>
      <c r="T118" s="69">
        <v>757000</v>
      </c>
      <c r="U118" s="69">
        <v>482000</v>
      </c>
      <c r="V118" s="69">
        <v>681238</v>
      </c>
      <c r="W118" s="69">
        <v>225868</v>
      </c>
      <c r="X118" s="69">
        <v>511909</v>
      </c>
      <c r="Y118" s="69">
        <v>600639</v>
      </c>
      <c r="Z118" s="69">
        <v>1381731</v>
      </c>
      <c r="AA118" s="69">
        <v>14827946</v>
      </c>
      <c r="AB118" s="69">
        <v>4057350</v>
      </c>
      <c r="AC118" s="69">
        <v>653708</v>
      </c>
      <c r="AD118" s="69">
        <v>1119684</v>
      </c>
      <c r="AE118" s="69">
        <v>985503</v>
      </c>
      <c r="AF118" s="69">
        <v>3076379</v>
      </c>
      <c r="AG118" s="69">
        <v>1825758</v>
      </c>
      <c r="AH118" s="69">
        <v>517871</v>
      </c>
      <c r="AI118" s="69">
        <v>501617</v>
      </c>
      <c r="AJ118" s="69">
        <v>274242</v>
      </c>
      <c r="AK118" s="69">
        <v>804432</v>
      </c>
      <c r="AL118" s="69">
        <v>2539191</v>
      </c>
      <c r="AM118" s="69">
        <v>862921</v>
      </c>
      <c r="AN118" s="69">
        <v>1470015</v>
      </c>
      <c r="AO118" s="69">
        <v>1427157</v>
      </c>
      <c r="AP118" s="69">
        <v>2501965</v>
      </c>
      <c r="AQ118" s="69">
        <v>1259025</v>
      </c>
      <c r="AR118" s="69">
        <v>1118093</v>
      </c>
      <c r="AS118" s="69">
        <v>3967295</v>
      </c>
      <c r="AT118" s="69">
        <v>4595871</v>
      </c>
      <c r="AU118" s="69">
        <v>3173301</v>
      </c>
      <c r="AV118">
        <v>4544532</v>
      </c>
      <c r="AW118">
        <v>1172814</v>
      </c>
      <c r="AX118">
        <v>1395929</v>
      </c>
    </row>
    <row r="119" spans="1:50" ht="14.5" x14ac:dyDescent="0.35">
      <c r="A119" s="68" t="s">
        <v>233</v>
      </c>
      <c r="B119" s="68" t="str">
        <f>VLOOKUP(Tabelle_Abfrage_von_MS_Access_Database[[#This Row],[LAND]],Texte!$A$4:$C$261,Texte!$A$1+1,FALSE)</f>
        <v>Swasiland</v>
      </c>
      <c r="C119" s="68" t="s">
        <v>508</v>
      </c>
      <c r="D119" s="68" t="s">
        <v>557</v>
      </c>
      <c r="E119" s="69">
        <v>26000</v>
      </c>
      <c r="F119" s="69">
        <v>60000</v>
      </c>
      <c r="G119" s="69">
        <v>35000</v>
      </c>
      <c r="H119" s="69">
        <v>171000</v>
      </c>
      <c r="I119" s="69">
        <v>133000</v>
      </c>
      <c r="J119" s="69">
        <v>124000</v>
      </c>
      <c r="K119" s="69">
        <v>149000</v>
      </c>
      <c r="L119" s="69">
        <v>155000</v>
      </c>
      <c r="M119" s="69">
        <v>76000</v>
      </c>
      <c r="N119" s="69">
        <v>312000</v>
      </c>
      <c r="O119" s="69">
        <v>226000</v>
      </c>
      <c r="P119" s="69">
        <v>96000</v>
      </c>
      <c r="Q119" s="69">
        <v>161000</v>
      </c>
      <c r="R119" s="69">
        <v>150000</v>
      </c>
      <c r="S119" s="69">
        <v>85000</v>
      </c>
      <c r="T119" s="69">
        <v>695000</v>
      </c>
      <c r="U119" s="69">
        <v>323000</v>
      </c>
      <c r="V119" s="69">
        <v>1323732</v>
      </c>
      <c r="W119" s="69">
        <v>129722</v>
      </c>
      <c r="X119" s="69">
        <v>79648</v>
      </c>
      <c r="Y119" s="69">
        <v>182265</v>
      </c>
      <c r="Z119" s="69">
        <v>59010</v>
      </c>
      <c r="AA119" s="69">
        <v>177829</v>
      </c>
      <c r="AB119" s="69">
        <v>410353</v>
      </c>
      <c r="AC119" s="69">
        <v>0</v>
      </c>
      <c r="AD119" s="69">
        <v>377130</v>
      </c>
      <c r="AE119" s="69">
        <v>117458</v>
      </c>
      <c r="AF119" s="69">
        <v>37538</v>
      </c>
      <c r="AG119" s="69">
        <v>24555</v>
      </c>
      <c r="AH119" s="69">
        <v>121344</v>
      </c>
      <c r="AI119" s="69">
        <v>91330</v>
      </c>
      <c r="AJ119" s="69">
        <v>50078</v>
      </c>
      <c r="AK119" s="69">
        <v>136921</v>
      </c>
      <c r="AL119" s="69">
        <v>7862</v>
      </c>
      <c r="AM119" s="69">
        <v>6967</v>
      </c>
      <c r="AN119" s="69">
        <v>16048</v>
      </c>
      <c r="AO119" s="69">
        <v>298645</v>
      </c>
      <c r="AP119" s="69">
        <v>123932</v>
      </c>
      <c r="AQ119" s="69">
        <v>215614</v>
      </c>
      <c r="AR119" s="69">
        <v>335331</v>
      </c>
      <c r="AS119" s="69">
        <v>820125</v>
      </c>
      <c r="AT119" s="69">
        <v>1077215</v>
      </c>
      <c r="AU119" s="69">
        <v>943523</v>
      </c>
      <c r="AV119">
        <v>1243982</v>
      </c>
      <c r="AW119">
        <v>1233401</v>
      </c>
      <c r="AX119">
        <v>8451608</v>
      </c>
    </row>
    <row r="120" spans="1:50" ht="14.5" x14ac:dyDescent="0.35">
      <c r="A120" s="68" t="s">
        <v>235</v>
      </c>
      <c r="B120" s="68" t="str">
        <f>VLOOKUP(Tabelle_Abfrage_von_MS_Access_Database[[#This Row],[LAND]],Texte!$A$4:$C$261,Texte!$A$1+1,FALSE)</f>
        <v>Lesotho</v>
      </c>
      <c r="C120" s="68" t="s">
        <v>508</v>
      </c>
      <c r="D120" s="68" t="s">
        <v>557</v>
      </c>
      <c r="E120" s="69">
        <v>25000</v>
      </c>
      <c r="F120" s="69">
        <v>1000</v>
      </c>
      <c r="G120" s="69">
        <v>56000</v>
      </c>
      <c r="H120" s="69">
        <v>10000</v>
      </c>
      <c r="I120" s="69">
        <v>24000</v>
      </c>
      <c r="J120" s="69">
        <v>14000</v>
      </c>
      <c r="K120" s="69">
        <v>83000</v>
      </c>
      <c r="L120" s="69">
        <v>132000</v>
      </c>
      <c r="M120" s="69">
        <v>1590000</v>
      </c>
      <c r="N120" s="69">
        <v>4524000</v>
      </c>
      <c r="O120" s="69">
        <v>2655000</v>
      </c>
      <c r="P120" s="69">
        <v>142000</v>
      </c>
      <c r="Q120" s="69">
        <v>1231000</v>
      </c>
      <c r="R120" s="69">
        <v>131000</v>
      </c>
      <c r="S120" s="69">
        <v>15000</v>
      </c>
      <c r="T120" s="69">
        <v>69000</v>
      </c>
      <c r="U120" s="69">
        <v>13000</v>
      </c>
      <c r="V120" s="69">
        <v>17369</v>
      </c>
      <c r="W120" s="69">
        <v>2616</v>
      </c>
      <c r="X120" s="69">
        <v>1744</v>
      </c>
      <c r="Y120" s="69">
        <v>38880</v>
      </c>
      <c r="Z120" s="69">
        <v>19767</v>
      </c>
      <c r="AA120" s="69">
        <v>184880</v>
      </c>
      <c r="AB120" s="69">
        <v>22670</v>
      </c>
      <c r="AC120" s="69">
        <v>78460</v>
      </c>
      <c r="AD120" s="69">
        <v>60833</v>
      </c>
      <c r="AE120" s="69">
        <v>1910</v>
      </c>
      <c r="AF120" s="69">
        <v>0</v>
      </c>
      <c r="AG120" s="69">
        <v>16491</v>
      </c>
      <c r="AH120" s="69">
        <v>51156</v>
      </c>
      <c r="AI120" s="69">
        <v>25681</v>
      </c>
      <c r="AJ120" s="69">
        <v>0</v>
      </c>
      <c r="AK120" s="69">
        <v>57802</v>
      </c>
      <c r="AL120" s="69">
        <v>1000</v>
      </c>
      <c r="AM120" s="69">
        <v>101013</v>
      </c>
      <c r="AN120" s="69">
        <v>17214</v>
      </c>
      <c r="AO120" s="69">
        <v>102937</v>
      </c>
      <c r="AP120" s="69">
        <v>38138</v>
      </c>
      <c r="AQ120" s="69">
        <v>8697</v>
      </c>
      <c r="AR120" s="69">
        <v>60746</v>
      </c>
      <c r="AS120" s="69">
        <v>224964</v>
      </c>
      <c r="AT120" s="69">
        <v>325316</v>
      </c>
      <c r="AU120" s="69">
        <v>219563</v>
      </c>
      <c r="AV120">
        <v>309883</v>
      </c>
      <c r="AW120">
        <v>65743</v>
      </c>
      <c r="AX120">
        <v>743198</v>
      </c>
    </row>
    <row r="121" spans="1:50" ht="14.5" x14ac:dyDescent="0.35">
      <c r="A121" s="68" t="s">
        <v>237</v>
      </c>
      <c r="B121" s="68" t="str">
        <f>VLOOKUP(Tabelle_Abfrage_von_MS_Access_Database[[#This Row],[LAND]],Texte!$A$4:$C$261,Texte!$A$1+1,FALSE)</f>
        <v>Vereinigte Staaten</v>
      </c>
      <c r="C121" s="68" t="s">
        <v>508</v>
      </c>
      <c r="D121" s="68" t="s">
        <v>557</v>
      </c>
      <c r="E121" s="69">
        <v>384338000</v>
      </c>
      <c r="F121" s="69">
        <v>381180000</v>
      </c>
      <c r="G121" s="69">
        <v>358525000</v>
      </c>
      <c r="H121" s="69">
        <v>473620000</v>
      </c>
      <c r="I121" s="69">
        <v>570504000</v>
      </c>
      <c r="J121" s="69">
        <v>597444000</v>
      </c>
      <c r="K121" s="69">
        <v>939548000</v>
      </c>
      <c r="L121" s="69">
        <v>1201015000</v>
      </c>
      <c r="M121" s="69">
        <v>1003616000</v>
      </c>
      <c r="N121" s="69">
        <v>886365000</v>
      </c>
      <c r="O121" s="69">
        <v>981616000</v>
      </c>
      <c r="P121" s="69">
        <v>1088028000</v>
      </c>
      <c r="Q121" s="69">
        <v>1085699000</v>
      </c>
      <c r="R121" s="69">
        <v>985348000</v>
      </c>
      <c r="S121" s="69">
        <v>935080000</v>
      </c>
      <c r="T121" s="69">
        <v>1122128000</v>
      </c>
      <c r="U121" s="69">
        <v>1297548000</v>
      </c>
      <c r="V121" s="69">
        <v>1250350627</v>
      </c>
      <c r="W121" s="69">
        <v>1416244447</v>
      </c>
      <c r="X121" s="69">
        <v>1904771335</v>
      </c>
      <c r="Y121" s="69">
        <v>2279385529</v>
      </c>
      <c r="Z121" s="69">
        <v>2750386006</v>
      </c>
      <c r="AA121" s="69">
        <v>3497963686</v>
      </c>
      <c r="AB121" s="69">
        <v>3932867952</v>
      </c>
      <c r="AC121" s="69">
        <v>4009602571</v>
      </c>
      <c r="AD121" s="69">
        <v>4086706412</v>
      </c>
      <c r="AE121" s="69">
        <v>5307129721</v>
      </c>
      <c r="AF121" s="69">
        <v>5349497580</v>
      </c>
      <c r="AG121" s="69">
        <v>6117989951</v>
      </c>
      <c r="AH121" s="69">
        <v>5775857624</v>
      </c>
      <c r="AI121" s="69">
        <v>5201765228</v>
      </c>
      <c r="AJ121" s="69">
        <v>4034999265</v>
      </c>
      <c r="AK121" s="69">
        <v>4958271622</v>
      </c>
      <c r="AL121" s="69">
        <v>6389313826</v>
      </c>
      <c r="AM121" s="69">
        <v>6931748613</v>
      </c>
      <c r="AN121" s="69">
        <v>7059987177</v>
      </c>
      <c r="AO121" s="69">
        <v>7780518063</v>
      </c>
      <c r="AP121" s="69">
        <v>9083198399</v>
      </c>
      <c r="AQ121" s="69">
        <v>8727220812</v>
      </c>
      <c r="AR121" s="69">
        <v>9661119963</v>
      </c>
      <c r="AS121" s="69">
        <v>10601464644</v>
      </c>
      <c r="AT121" s="69">
        <v>10242220182</v>
      </c>
      <c r="AU121" s="69">
        <v>9297426006</v>
      </c>
      <c r="AV121">
        <v>11099852668</v>
      </c>
      <c r="AW121">
        <v>12912798203</v>
      </c>
      <c r="AX121">
        <v>14743677122</v>
      </c>
    </row>
    <row r="122" spans="1:50" ht="14.5" x14ac:dyDescent="0.35">
      <c r="A122" s="68" t="s">
        <v>239</v>
      </c>
      <c r="B122" s="68" t="str">
        <f>VLOOKUP(Tabelle_Abfrage_von_MS_Access_Database[[#This Row],[LAND]],Texte!$A$4:$C$261,Texte!$A$1+1,FALSE)</f>
        <v>Kanada</v>
      </c>
      <c r="C122" s="68" t="s">
        <v>508</v>
      </c>
      <c r="D122" s="68" t="s">
        <v>557</v>
      </c>
      <c r="E122" s="69">
        <v>80926000</v>
      </c>
      <c r="F122" s="69">
        <v>91033000</v>
      </c>
      <c r="G122" s="69">
        <v>78176000</v>
      </c>
      <c r="H122" s="69">
        <v>90440000</v>
      </c>
      <c r="I122" s="69">
        <v>93269000</v>
      </c>
      <c r="J122" s="69">
        <v>120872000</v>
      </c>
      <c r="K122" s="69">
        <v>183611000</v>
      </c>
      <c r="L122" s="69">
        <v>216688000</v>
      </c>
      <c r="M122" s="69">
        <v>188474000</v>
      </c>
      <c r="N122" s="69">
        <v>194627000</v>
      </c>
      <c r="O122" s="69">
        <v>199200000</v>
      </c>
      <c r="P122" s="69">
        <v>303575000</v>
      </c>
      <c r="Q122" s="69">
        <v>254036000</v>
      </c>
      <c r="R122" s="69">
        <v>189242000</v>
      </c>
      <c r="S122" s="69">
        <v>201478000</v>
      </c>
      <c r="T122" s="69">
        <v>216648000</v>
      </c>
      <c r="U122" s="69">
        <v>247436000</v>
      </c>
      <c r="V122" s="69">
        <v>255146745</v>
      </c>
      <c r="W122" s="69">
        <v>318105259</v>
      </c>
      <c r="X122" s="69">
        <v>361385296</v>
      </c>
      <c r="Y122" s="69">
        <v>353692490</v>
      </c>
      <c r="Z122" s="69">
        <v>391863019</v>
      </c>
      <c r="AA122" s="69">
        <v>508917742</v>
      </c>
      <c r="AB122" s="69">
        <v>563704162</v>
      </c>
      <c r="AC122" s="69">
        <v>528516564</v>
      </c>
      <c r="AD122" s="69">
        <v>594387606</v>
      </c>
      <c r="AE122" s="69">
        <v>759558902</v>
      </c>
      <c r="AF122" s="69">
        <v>818325516</v>
      </c>
      <c r="AG122" s="69">
        <v>892055109</v>
      </c>
      <c r="AH122" s="69">
        <v>884426658</v>
      </c>
      <c r="AI122" s="69">
        <v>856430262</v>
      </c>
      <c r="AJ122" s="69">
        <v>616396537</v>
      </c>
      <c r="AK122" s="69">
        <v>745674606</v>
      </c>
      <c r="AL122" s="69">
        <v>778942164</v>
      </c>
      <c r="AM122" s="69">
        <v>871022895</v>
      </c>
      <c r="AN122" s="69">
        <v>918338738</v>
      </c>
      <c r="AO122" s="69">
        <v>1010654950</v>
      </c>
      <c r="AP122" s="69">
        <v>1027039810</v>
      </c>
      <c r="AQ122" s="69">
        <v>977134792</v>
      </c>
      <c r="AR122" s="69">
        <v>1140678714</v>
      </c>
      <c r="AS122" s="69">
        <v>1225648684</v>
      </c>
      <c r="AT122" s="69">
        <v>1277343593</v>
      </c>
      <c r="AU122" s="69">
        <v>1114578389</v>
      </c>
      <c r="AV122">
        <v>1443966661</v>
      </c>
      <c r="AW122">
        <v>1712297108</v>
      </c>
      <c r="AX122">
        <v>1662296319</v>
      </c>
    </row>
    <row r="123" spans="1:50" ht="14.5" x14ac:dyDescent="0.35">
      <c r="A123" s="68" t="s">
        <v>241</v>
      </c>
      <c r="B123" s="68" t="str">
        <f>VLOOKUP(Tabelle_Abfrage_von_MS_Access_Database[[#This Row],[LAND]],Texte!$A$4:$C$261,Texte!$A$1+1,FALSE)</f>
        <v>Grönland</v>
      </c>
      <c r="C123" s="68" t="s">
        <v>525</v>
      </c>
      <c r="D123" s="68" t="s">
        <v>557</v>
      </c>
      <c r="E123" s="69">
        <v>0</v>
      </c>
      <c r="F123" s="69">
        <v>0</v>
      </c>
      <c r="G123" s="69">
        <v>0</v>
      </c>
      <c r="H123" s="69">
        <v>0</v>
      </c>
      <c r="I123" s="69">
        <v>0</v>
      </c>
      <c r="J123" s="69">
        <v>0</v>
      </c>
      <c r="K123" s="69">
        <v>0</v>
      </c>
      <c r="L123" s="69">
        <v>0</v>
      </c>
      <c r="M123" s="69">
        <v>0</v>
      </c>
      <c r="N123" s="69">
        <v>0</v>
      </c>
      <c r="O123" s="69">
        <v>0</v>
      </c>
      <c r="P123" s="69">
        <v>0</v>
      </c>
      <c r="Q123" s="69">
        <v>0</v>
      </c>
      <c r="R123" s="69">
        <v>0</v>
      </c>
      <c r="S123" s="69">
        <v>0</v>
      </c>
      <c r="T123" s="69">
        <v>0</v>
      </c>
      <c r="U123" s="69">
        <v>0</v>
      </c>
      <c r="V123" s="69">
        <v>19476</v>
      </c>
      <c r="W123" s="69">
        <v>0</v>
      </c>
      <c r="X123" s="69">
        <v>12791</v>
      </c>
      <c r="Y123" s="69">
        <v>12355</v>
      </c>
      <c r="Z123" s="69">
        <v>2231928</v>
      </c>
      <c r="AA123" s="69">
        <v>38153</v>
      </c>
      <c r="AB123" s="69">
        <v>34777</v>
      </c>
      <c r="AC123" s="69">
        <v>126389</v>
      </c>
      <c r="AD123" s="69">
        <v>51777</v>
      </c>
      <c r="AE123" s="69">
        <v>17490</v>
      </c>
      <c r="AF123" s="69">
        <v>19799</v>
      </c>
      <c r="AG123" s="69">
        <v>25321</v>
      </c>
      <c r="AH123" s="69">
        <v>89189</v>
      </c>
      <c r="AI123" s="69">
        <v>373126</v>
      </c>
      <c r="AJ123" s="69">
        <v>131907</v>
      </c>
      <c r="AK123" s="69">
        <v>450908</v>
      </c>
      <c r="AL123" s="69">
        <v>1479425</v>
      </c>
      <c r="AM123" s="69">
        <v>190026</v>
      </c>
      <c r="AN123" s="69">
        <v>123661</v>
      </c>
      <c r="AO123" s="69">
        <v>64667</v>
      </c>
      <c r="AP123" s="69">
        <v>197209</v>
      </c>
      <c r="AQ123" s="69">
        <v>371923</v>
      </c>
      <c r="AR123" s="69">
        <v>264241</v>
      </c>
      <c r="AS123" s="69">
        <v>826881</v>
      </c>
      <c r="AT123" s="69">
        <v>2189749</v>
      </c>
      <c r="AU123" s="69">
        <v>160299</v>
      </c>
      <c r="AV123">
        <v>1787338</v>
      </c>
      <c r="AW123">
        <v>1130742</v>
      </c>
      <c r="AX123">
        <v>135992</v>
      </c>
    </row>
    <row r="124" spans="1:50" ht="14.5" x14ac:dyDescent="0.35">
      <c r="A124" s="68" t="s">
        <v>243</v>
      </c>
      <c r="B124" s="68" t="str">
        <f>VLOOKUP(Tabelle_Abfrage_von_MS_Access_Database[[#This Row],[LAND]],Texte!$A$4:$C$261,Texte!$A$1+1,FALSE)</f>
        <v>St.Pierre und Miquelon</v>
      </c>
      <c r="C124" s="68" t="s">
        <v>508</v>
      </c>
      <c r="D124" s="68" t="s">
        <v>557</v>
      </c>
      <c r="E124" s="69">
        <v>21000</v>
      </c>
      <c r="F124" s="69">
        <v>5000</v>
      </c>
      <c r="G124" s="69">
        <v>9000</v>
      </c>
      <c r="H124" s="69">
        <v>12000</v>
      </c>
      <c r="I124" s="69">
        <v>0</v>
      </c>
      <c r="J124" s="69">
        <v>0</v>
      </c>
      <c r="K124" s="69">
        <v>2000</v>
      </c>
      <c r="L124" s="69">
        <v>0</v>
      </c>
      <c r="M124" s="69">
        <v>1000</v>
      </c>
      <c r="N124" s="69">
        <v>45000</v>
      </c>
      <c r="O124" s="69">
        <v>22000</v>
      </c>
      <c r="P124" s="69">
        <v>0</v>
      </c>
      <c r="Q124" s="69">
        <v>0</v>
      </c>
      <c r="R124" s="69">
        <v>44000</v>
      </c>
      <c r="S124" s="69">
        <v>0</v>
      </c>
      <c r="T124" s="69">
        <v>0</v>
      </c>
      <c r="U124" s="69">
        <v>2000</v>
      </c>
      <c r="V124" s="69">
        <v>1235</v>
      </c>
      <c r="W124" s="69">
        <v>0</v>
      </c>
      <c r="X124" s="70"/>
      <c r="Y124" s="69">
        <v>0</v>
      </c>
      <c r="Z124" s="69">
        <v>1671</v>
      </c>
      <c r="AA124" s="69">
        <v>85608</v>
      </c>
      <c r="AB124" s="69">
        <v>0</v>
      </c>
      <c r="AC124" s="69">
        <v>0</v>
      </c>
      <c r="AD124" s="69">
        <v>10685</v>
      </c>
      <c r="AE124" s="69">
        <v>0</v>
      </c>
      <c r="AF124" s="70"/>
      <c r="AG124" s="69">
        <v>2762</v>
      </c>
      <c r="AH124" s="69">
        <v>5068</v>
      </c>
      <c r="AI124" s="69">
        <v>4709</v>
      </c>
      <c r="AJ124" s="69">
        <v>1537</v>
      </c>
      <c r="AK124" s="69">
        <v>5251</v>
      </c>
      <c r="AL124" s="69">
        <v>28</v>
      </c>
      <c r="AM124" s="69">
        <v>4891</v>
      </c>
      <c r="AN124" s="70"/>
      <c r="AO124" s="69">
        <v>44731</v>
      </c>
      <c r="AP124" s="70"/>
      <c r="AQ124" s="70"/>
      <c r="AR124" s="70"/>
      <c r="AS124" s="70"/>
      <c r="AT124" s="70"/>
      <c r="AU124" s="70"/>
      <c r="AX124">
        <v>6751</v>
      </c>
    </row>
    <row r="125" spans="1:50" ht="14.5" x14ac:dyDescent="0.35">
      <c r="A125" s="68" t="s">
        <v>245</v>
      </c>
      <c r="B125" s="68" t="str">
        <f>VLOOKUP(Tabelle_Abfrage_von_MS_Access_Database[[#This Row],[LAND]],Texte!$A$4:$C$261,Texte!$A$1+1,FALSE)</f>
        <v>Mexiko</v>
      </c>
      <c r="C125" s="68" t="s">
        <v>508</v>
      </c>
      <c r="D125" s="68" t="s">
        <v>557</v>
      </c>
      <c r="E125" s="69">
        <v>10688000</v>
      </c>
      <c r="F125" s="69">
        <v>18817000</v>
      </c>
      <c r="G125" s="69">
        <v>24119000</v>
      </c>
      <c r="H125" s="69">
        <v>51739000</v>
      </c>
      <c r="I125" s="69">
        <v>18398000</v>
      </c>
      <c r="J125" s="69">
        <v>13200000</v>
      </c>
      <c r="K125" s="69">
        <v>16001000</v>
      </c>
      <c r="L125" s="69">
        <v>22371000</v>
      </c>
      <c r="M125" s="69">
        <v>27988000</v>
      </c>
      <c r="N125" s="69">
        <v>13780000</v>
      </c>
      <c r="O125" s="69">
        <v>16138000</v>
      </c>
      <c r="P125" s="69">
        <v>33493000</v>
      </c>
      <c r="Q125" s="69">
        <v>47051000</v>
      </c>
      <c r="R125" s="69">
        <v>56309000</v>
      </c>
      <c r="S125" s="69">
        <v>78081000</v>
      </c>
      <c r="T125" s="69">
        <v>71380000</v>
      </c>
      <c r="U125" s="69">
        <v>83225000</v>
      </c>
      <c r="V125" s="69">
        <v>52997676</v>
      </c>
      <c r="W125" s="69">
        <v>70768589</v>
      </c>
      <c r="X125" s="69">
        <v>103975782</v>
      </c>
      <c r="Y125" s="69">
        <v>159990896</v>
      </c>
      <c r="Z125" s="69">
        <v>128166250</v>
      </c>
      <c r="AA125" s="69">
        <v>155014644</v>
      </c>
      <c r="AB125" s="69">
        <v>166185757</v>
      </c>
      <c r="AC125" s="69">
        <v>153237274</v>
      </c>
      <c r="AD125" s="69">
        <v>169514143</v>
      </c>
      <c r="AE125" s="69">
        <v>205168172</v>
      </c>
      <c r="AF125" s="69">
        <v>216534812</v>
      </c>
      <c r="AG125" s="69">
        <v>278553446</v>
      </c>
      <c r="AH125" s="69">
        <v>382930364</v>
      </c>
      <c r="AI125" s="69">
        <v>386166428</v>
      </c>
      <c r="AJ125" s="69">
        <v>277110333</v>
      </c>
      <c r="AK125" s="69">
        <v>383224493</v>
      </c>
      <c r="AL125" s="69">
        <v>406984379</v>
      </c>
      <c r="AM125" s="69">
        <v>512745745</v>
      </c>
      <c r="AN125" s="69">
        <v>558058550</v>
      </c>
      <c r="AO125" s="69">
        <v>600252140</v>
      </c>
      <c r="AP125" s="69">
        <v>765505434</v>
      </c>
      <c r="AQ125" s="69">
        <v>940500391</v>
      </c>
      <c r="AR125" s="69">
        <v>1101242074</v>
      </c>
      <c r="AS125" s="69">
        <v>1270150770</v>
      </c>
      <c r="AT125" s="69">
        <v>1336595926</v>
      </c>
      <c r="AU125" s="69">
        <v>1097009090</v>
      </c>
      <c r="AV125">
        <v>1286844407</v>
      </c>
      <c r="AW125">
        <v>1681404891</v>
      </c>
      <c r="AX125">
        <v>1984683041</v>
      </c>
    </row>
    <row r="126" spans="1:50" ht="14.5" x14ac:dyDescent="0.35">
      <c r="A126" s="68" t="s">
        <v>247</v>
      </c>
      <c r="B126" s="68" t="str">
        <f>VLOOKUP(Tabelle_Abfrage_von_MS_Access_Database[[#This Row],[LAND]],Texte!$A$4:$C$261,Texte!$A$1+1,FALSE)</f>
        <v>Bermuda</v>
      </c>
      <c r="C126" s="68" t="s">
        <v>508</v>
      </c>
      <c r="D126" s="68" t="s">
        <v>557</v>
      </c>
      <c r="E126" s="69">
        <v>92000</v>
      </c>
      <c r="F126" s="69">
        <v>71000</v>
      </c>
      <c r="G126" s="69">
        <v>262000</v>
      </c>
      <c r="H126" s="69">
        <v>267000</v>
      </c>
      <c r="I126" s="69">
        <v>380000</v>
      </c>
      <c r="J126" s="69">
        <v>343000</v>
      </c>
      <c r="K126" s="69">
        <v>474000</v>
      </c>
      <c r="L126" s="69">
        <v>645000</v>
      </c>
      <c r="M126" s="69">
        <v>350000</v>
      </c>
      <c r="N126" s="69">
        <v>443000</v>
      </c>
      <c r="O126" s="69">
        <v>239000</v>
      </c>
      <c r="P126" s="69">
        <v>497000</v>
      </c>
      <c r="Q126" s="69">
        <v>8078000</v>
      </c>
      <c r="R126" s="69">
        <v>198000</v>
      </c>
      <c r="S126" s="69">
        <v>4150000</v>
      </c>
      <c r="T126" s="69">
        <v>122000</v>
      </c>
      <c r="U126" s="69">
        <v>202000</v>
      </c>
      <c r="V126" s="69">
        <v>342360</v>
      </c>
      <c r="W126" s="69">
        <v>49199</v>
      </c>
      <c r="X126" s="69">
        <v>225793</v>
      </c>
      <c r="Y126" s="69">
        <v>91568</v>
      </c>
      <c r="Z126" s="69">
        <v>107845</v>
      </c>
      <c r="AA126" s="69">
        <v>102468</v>
      </c>
      <c r="AB126" s="69">
        <v>28001</v>
      </c>
      <c r="AC126" s="69">
        <v>53465</v>
      </c>
      <c r="AD126" s="69">
        <v>57713</v>
      </c>
      <c r="AE126" s="69">
        <v>35073</v>
      </c>
      <c r="AF126" s="69">
        <v>139223</v>
      </c>
      <c r="AG126" s="69">
        <v>271575</v>
      </c>
      <c r="AH126" s="69">
        <v>393516</v>
      </c>
      <c r="AI126" s="69">
        <v>1303324</v>
      </c>
      <c r="AJ126" s="69">
        <v>817771</v>
      </c>
      <c r="AK126" s="69">
        <v>135641</v>
      </c>
      <c r="AL126" s="69">
        <v>1160656</v>
      </c>
      <c r="AM126" s="69">
        <v>243225</v>
      </c>
      <c r="AN126" s="69">
        <v>150823</v>
      </c>
      <c r="AO126" s="69">
        <v>349357</v>
      </c>
      <c r="AP126" s="69">
        <v>446953</v>
      </c>
      <c r="AQ126" s="69">
        <v>609097</v>
      </c>
      <c r="AR126" s="69">
        <v>952633</v>
      </c>
      <c r="AS126" s="69">
        <v>572096</v>
      </c>
      <c r="AT126" s="69">
        <v>806430</v>
      </c>
      <c r="AU126" s="69">
        <v>446992</v>
      </c>
      <c r="AV126">
        <v>367758</v>
      </c>
      <c r="AW126">
        <v>669859</v>
      </c>
      <c r="AX126">
        <v>438255</v>
      </c>
    </row>
    <row r="127" spans="1:50" ht="14.5" x14ac:dyDescent="0.35">
      <c r="A127" s="68" t="s">
        <v>249</v>
      </c>
      <c r="B127" s="68" t="str">
        <f>VLOOKUP(Tabelle_Abfrage_von_MS_Access_Database[[#This Row],[LAND]],Texte!$A$4:$C$261,Texte!$A$1+1,FALSE)</f>
        <v>Guatemala</v>
      </c>
      <c r="C127" s="68" t="s">
        <v>508</v>
      </c>
      <c r="D127" s="68" t="s">
        <v>557</v>
      </c>
      <c r="E127" s="69">
        <v>2562000</v>
      </c>
      <c r="F127" s="69">
        <v>1583000</v>
      </c>
      <c r="G127" s="69">
        <v>1790000</v>
      </c>
      <c r="H127" s="69">
        <v>2933000</v>
      </c>
      <c r="I127" s="69">
        <v>4062000</v>
      </c>
      <c r="J127" s="69">
        <v>2157000</v>
      </c>
      <c r="K127" s="69">
        <v>5594000</v>
      </c>
      <c r="L127" s="69">
        <v>4427000</v>
      </c>
      <c r="M127" s="69">
        <v>3488000</v>
      </c>
      <c r="N127" s="69">
        <v>4719000</v>
      </c>
      <c r="O127" s="69">
        <v>3165000</v>
      </c>
      <c r="P127" s="69">
        <v>4408000</v>
      </c>
      <c r="Q127" s="69">
        <v>2436000</v>
      </c>
      <c r="R127" s="69">
        <v>3521000</v>
      </c>
      <c r="S127" s="69">
        <v>4293000</v>
      </c>
      <c r="T127" s="69">
        <v>3076000</v>
      </c>
      <c r="U127" s="69">
        <v>3732000</v>
      </c>
      <c r="V127" s="69">
        <v>2364256</v>
      </c>
      <c r="W127" s="69">
        <v>4048894</v>
      </c>
      <c r="X127" s="69">
        <v>4141771</v>
      </c>
      <c r="Y127" s="69">
        <v>4674750</v>
      </c>
      <c r="Z127" s="69">
        <v>3898105</v>
      </c>
      <c r="AA127" s="69">
        <v>6363963</v>
      </c>
      <c r="AB127" s="69">
        <v>13091103</v>
      </c>
      <c r="AC127" s="69">
        <v>6892900</v>
      </c>
      <c r="AD127" s="69">
        <v>8757609</v>
      </c>
      <c r="AE127" s="69">
        <v>6444185</v>
      </c>
      <c r="AF127" s="69">
        <v>7702827</v>
      </c>
      <c r="AG127" s="69">
        <v>13030053</v>
      </c>
      <c r="AH127" s="69">
        <v>11804897</v>
      </c>
      <c r="AI127" s="69">
        <v>12328840</v>
      </c>
      <c r="AJ127" s="69">
        <v>10562405</v>
      </c>
      <c r="AK127" s="69">
        <v>10644716</v>
      </c>
      <c r="AL127" s="69">
        <v>18375392</v>
      </c>
      <c r="AM127" s="69">
        <v>14929024</v>
      </c>
      <c r="AN127" s="69">
        <v>18359196</v>
      </c>
      <c r="AO127" s="69">
        <v>17996591</v>
      </c>
      <c r="AP127" s="69">
        <v>21010601</v>
      </c>
      <c r="AQ127" s="69">
        <v>19135600</v>
      </c>
      <c r="AR127" s="69">
        <v>19850998</v>
      </c>
      <c r="AS127" s="69">
        <v>16901134</v>
      </c>
      <c r="AT127" s="69">
        <v>21140320</v>
      </c>
      <c r="AU127" s="69">
        <v>15166167</v>
      </c>
      <c r="AV127">
        <v>24398958</v>
      </c>
      <c r="AW127">
        <v>26727315</v>
      </c>
      <c r="AX127">
        <v>38451013</v>
      </c>
    </row>
    <row r="128" spans="1:50" ht="14.5" x14ac:dyDescent="0.35">
      <c r="A128" s="68" t="s">
        <v>251</v>
      </c>
      <c r="B128" s="68" t="str">
        <f>VLOOKUP(Tabelle_Abfrage_von_MS_Access_Database[[#This Row],[LAND]],Texte!$A$4:$C$261,Texte!$A$1+1,FALSE)</f>
        <v>Belize</v>
      </c>
      <c r="C128" s="68" t="s">
        <v>508</v>
      </c>
      <c r="D128" s="68" t="s">
        <v>557</v>
      </c>
      <c r="E128" s="69">
        <v>17000</v>
      </c>
      <c r="F128" s="69">
        <v>17000</v>
      </c>
      <c r="G128" s="69">
        <v>33000</v>
      </c>
      <c r="H128" s="69">
        <v>37000</v>
      </c>
      <c r="I128" s="69">
        <v>28000</v>
      </c>
      <c r="J128" s="69">
        <v>41000</v>
      </c>
      <c r="K128" s="69">
        <v>33000</v>
      </c>
      <c r="L128" s="69">
        <v>62000</v>
      </c>
      <c r="M128" s="69">
        <v>141000</v>
      </c>
      <c r="N128" s="69">
        <v>58000</v>
      </c>
      <c r="O128" s="69">
        <v>139000</v>
      </c>
      <c r="P128" s="69">
        <v>121000</v>
      </c>
      <c r="Q128" s="69">
        <v>163000</v>
      </c>
      <c r="R128" s="69">
        <v>140000</v>
      </c>
      <c r="S128" s="69">
        <v>696000</v>
      </c>
      <c r="T128" s="69">
        <v>796000</v>
      </c>
      <c r="U128" s="69">
        <v>499000</v>
      </c>
      <c r="V128" s="69">
        <v>436108</v>
      </c>
      <c r="W128" s="69">
        <v>22092</v>
      </c>
      <c r="X128" s="69">
        <v>296505</v>
      </c>
      <c r="Y128" s="69">
        <v>1544878</v>
      </c>
      <c r="Z128" s="69">
        <v>553913</v>
      </c>
      <c r="AA128" s="69">
        <v>1002449</v>
      </c>
      <c r="AB128" s="69">
        <v>991938</v>
      </c>
      <c r="AC128" s="69">
        <v>1223463</v>
      </c>
      <c r="AD128" s="69">
        <v>1715813</v>
      </c>
      <c r="AE128" s="69">
        <v>3295436</v>
      </c>
      <c r="AF128" s="69">
        <v>3697068</v>
      </c>
      <c r="AG128" s="69">
        <v>2089398</v>
      </c>
      <c r="AH128" s="69">
        <v>3333453</v>
      </c>
      <c r="AI128" s="69">
        <v>3074820</v>
      </c>
      <c r="AJ128" s="69">
        <v>2068591</v>
      </c>
      <c r="AK128" s="69">
        <v>6151696</v>
      </c>
      <c r="AL128" s="69">
        <v>3326496</v>
      </c>
      <c r="AM128" s="69">
        <v>4952869</v>
      </c>
      <c r="AN128" s="69">
        <v>3332430</v>
      </c>
      <c r="AO128" s="69">
        <v>3200698</v>
      </c>
      <c r="AP128" s="69">
        <v>3328499</v>
      </c>
      <c r="AQ128" s="69">
        <v>3600257</v>
      </c>
      <c r="AR128" s="69">
        <v>3068911</v>
      </c>
      <c r="AS128" s="69">
        <v>11494967</v>
      </c>
      <c r="AT128" s="69">
        <v>3587470</v>
      </c>
      <c r="AU128" s="69">
        <v>3384491</v>
      </c>
      <c r="AV128">
        <v>4583888</v>
      </c>
      <c r="AW128">
        <v>5557687</v>
      </c>
      <c r="AX128">
        <v>6670581</v>
      </c>
    </row>
    <row r="129" spans="1:50" ht="14.5" x14ac:dyDescent="0.35">
      <c r="A129" s="68" t="s">
        <v>253</v>
      </c>
      <c r="B129" s="68" t="str">
        <f>VLOOKUP(Tabelle_Abfrage_von_MS_Access_Database[[#This Row],[LAND]],Texte!$A$4:$C$261,Texte!$A$1+1,FALSE)</f>
        <v>Honduras</v>
      </c>
      <c r="C129" s="68" t="s">
        <v>508</v>
      </c>
      <c r="D129" s="68" t="s">
        <v>557</v>
      </c>
      <c r="E129" s="69">
        <v>1348000</v>
      </c>
      <c r="F129" s="69">
        <v>1370000</v>
      </c>
      <c r="G129" s="69">
        <v>2825000</v>
      </c>
      <c r="H129" s="69">
        <v>1889000</v>
      </c>
      <c r="I129" s="69">
        <v>1962000</v>
      </c>
      <c r="J129" s="69">
        <v>2596000</v>
      </c>
      <c r="K129" s="69">
        <v>2592000</v>
      </c>
      <c r="L129" s="69">
        <v>4589000</v>
      </c>
      <c r="M129" s="69">
        <v>1876000</v>
      </c>
      <c r="N129" s="69">
        <v>1241000</v>
      </c>
      <c r="O129" s="69">
        <v>700000</v>
      </c>
      <c r="P129" s="69">
        <v>788000</v>
      </c>
      <c r="Q129" s="69">
        <v>619000</v>
      </c>
      <c r="R129" s="69">
        <v>595000</v>
      </c>
      <c r="S129" s="69">
        <v>798000</v>
      </c>
      <c r="T129" s="69">
        <v>1181000</v>
      </c>
      <c r="U129" s="69">
        <v>2051000</v>
      </c>
      <c r="V129" s="69">
        <v>1102302</v>
      </c>
      <c r="W129" s="69">
        <v>783487</v>
      </c>
      <c r="X129" s="69">
        <v>1611087</v>
      </c>
      <c r="Y129" s="69">
        <v>2999641</v>
      </c>
      <c r="Z129" s="69">
        <v>4633114</v>
      </c>
      <c r="AA129" s="69">
        <v>3840107</v>
      </c>
      <c r="AB129" s="69">
        <v>5586638</v>
      </c>
      <c r="AC129" s="69">
        <v>3477969</v>
      </c>
      <c r="AD129" s="69">
        <v>3193246</v>
      </c>
      <c r="AE129" s="69">
        <v>3518128</v>
      </c>
      <c r="AF129" s="69">
        <v>3887955</v>
      </c>
      <c r="AG129" s="69">
        <v>2937255</v>
      </c>
      <c r="AH129" s="69">
        <v>2941107</v>
      </c>
      <c r="AI129" s="69">
        <v>3865121</v>
      </c>
      <c r="AJ129" s="69">
        <v>2628122</v>
      </c>
      <c r="AK129" s="69">
        <v>3067828</v>
      </c>
      <c r="AL129" s="69">
        <v>8006632</v>
      </c>
      <c r="AM129" s="69">
        <v>12233158</v>
      </c>
      <c r="AN129" s="69">
        <v>24091369</v>
      </c>
      <c r="AO129" s="69">
        <v>17876118</v>
      </c>
      <c r="AP129" s="69">
        <v>6611879</v>
      </c>
      <c r="AQ129" s="69">
        <v>13882557</v>
      </c>
      <c r="AR129" s="69">
        <v>7638577</v>
      </c>
      <c r="AS129" s="69">
        <v>10147749</v>
      </c>
      <c r="AT129" s="69">
        <v>9691017</v>
      </c>
      <c r="AU129" s="69">
        <v>7250162</v>
      </c>
      <c r="AV129">
        <v>11229779</v>
      </c>
      <c r="AW129">
        <v>10300457</v>
      </c>
      <c r="AX129">
        <v>16643668</v>
      </c>
    </row>
    <row r="130" spans="1:50" ht="14.5" x14ac:dyDescent="0.35">
      <c r="A130" s="68" t="s">
        <v>255</v>
      </c>
      <c r="B130" s="68" t="str">
        <f>VLOOKUP(Tabelle_Abfrage_von_MS_Access_Database[[#This Row],[LAND]],Texte!$A$4:$C$261,Texte!$A$1+1,FALSE)</f>
        <v>El Salvador</v>
      </c>
      <c r="C130" s="68" t="s">
        <v>508</v>
      </c>
      <c r="D130" s="68" t="s">
        <v>557</v>
      </c>
      <c r="E130" s="69">
        <v>1496000</v>
      </c>
      <c r="F130" s="69">
        <v>2068000</v>
      </c>
      <c r="G130" s="69">
        <v>667000</v>
      </c>
      <c r="H130" s="69">
        <v>2092000</v>
      </c>
      <c r="I130" s="69">
        <v>2785000</v>
      </c>
      <c r="J130" s="69">
        <v>2448000</v>
      </c>
      <c r="K130" s="69">
        <v>2609000</v>
      </c>
      <c r="L130" s="69">
        <v>2907000</v>
      </c>
      <c r="M130" s="69">
        <v>2228000</v>
      </c>
      <c r="N130" s="69">
        <v>1679000</v>
      </c>
      <c r="O130" s="69">
        <v>1135000</v>
      </c>
      <c r="P130" s="69">
        <v>1363000</v>
      </c>
      <c r="Q130" s="69">
        <v>1535000</v>
      </c>
      <c r="R130" s="69">
        <v>5459000</v>
      </c>
      <c r="S130" s="69">
        <v>2975000</v>
      </c>
      <c r="T130" s="69">
        <v>1679000</v>
      </c>
      <c r="U130" s="69">
        <v>3101000</v>
      </c>
      <c r="V130" s="69">
        <v>2883587</v>
      </c>
      <c r="W130" s="69">
        <v>3140631</v>
      </c>
      <c r="X130" s="69">
        <v>1772421</v>
      </c>
      <c r="Y130" s="69">
        <v>2520589</v>
      </c>
      <c r="Z130" s="69">
        <v>2293121</v>
      </c>
      <c r="AA130" s="69">
        <v>5908089</v>
      </c>
      <c r="AB130" s="69">
        <v>8720681</v>
      </c>
      <c r="AC130" s="69">
        <v>6352658</v>
      </c>
      <c r="AD130" s="69">
        <v>4360794</v>
      </c>
      <c r="AE130" s="69">
        <v>4161300</v>
      </c>
      <c r="AF130" s="69">
        <v>4768264</v>
      </c>
      <c r="AG130" s="69">
        <v>3997793</v>
      </c>
      <c r="AH130" s="69">
        <v>4003344</v>
      </c>
      <c r="AI130" s="69">
        <v>7537326</v>
      </c>
      <c r="AJ130" s="69">
        <v>3166415</v>
      </c>
      <c r="AK130" s="69">
        <v>3921647</v>
      </c>
      <c r="AL130" s="69">
        <v>4444334</v>
      </c>
      <c r="AM130" s="69">
        <v>6138777</v>
      </c>
      <c r="AN130" s="69">
        <v>5437805</v>
      </c>
      <c r="AO130" s="69">
        <v>4396258</v>
      </c>
      <c r="AP130" s="69">
        <v>6438458</v>
      </c>
      <c r="AQ130" s="69">
        <v>6254772</v>
      </c>
      <c r="AR130" s="69">
        <v>6431258</v>
      </c>
      <c r="AS130" s="69">
        <v>6380953</v>
      </c>
      <c r="AT130" s="69">
        <v>10876252</v>
      </c>
      <c r="AU130" s="69">
        <v>6629230</v>
      </c>
      <c r="AV130">
        <v>11860985</v>
      </c>
      <c r="AW130">
        <v>9990654</v>
      </c>
      <c r="AX130">
        <v>9141178</v>
      </c>
    </row>
    <row r="131" spans="1:50" ht="14.5" x14ac:dyDescent="0.35">
      <c r="A131" s="68" t="s">
        <v>257</v>
      </c>
      <c r="B131" s="68" t="str">
        <f>VLOOKUP(Tabelle_Abfrage_von_MS_Access_Database[[#This Row],[LAND]],Texte!$A$4:$C$261,Texte!$A$1+1,FALSE)</f>
        <v>Nicaragua</v>
      </c>
      <c r="C131" s="68" t="s">
        <v>508</v>
      </c>
      <c r="D131" s="68" t="s">
        <v>557</v>
      </c>
      <c r="E131" s="69">
        <v>420000</v>
      </c>
      <c r="F131" s="69">
        <v>326000</v>
      </c>
      <c r="G131" s="69">
        <v>572000</v>
      </c>
      <c r="H131" s="69">
        <v>1188000</v>
      </c>
      <c r="I131" s="69">
        <v>3700000</v>
      </c>
      <c r="J131" s="69">
        <v>8280000</v>
      </c>
      <c r="K131" s="69">
        <v>9758000</v>
      </c>
      <c r="L131" s="69">
        <v>5107000</v>
      </c>
      <c r="M131" s="69">
        <v>4763000</v>
      </c>
      <c r="N131" s="69">
        <v>2548000</v>
      </c>
      <c r="O131" s="69">
        <v>1080000</v>
      </c>
      <c r="P131" s="69">
        <v>2424000</v>
      </c>
      <c r="Q131" s="69">
        <v>2218000</v>
      </c>
      <c r="R131" s="69">
        <v>1539000</v>
      </c>
      <c r="S131" s="69">
        <v>1867000</v>
      </c>
      <c r="T131" s="69">
        <v>1195000</v>
      </c>
      <c r="U131" s="69">
        <v>1533000</v>
      </c>
      <c r="V131" s="69">
        <v>1103537</v>
      </c>
      <c r="W131" s="69">
        <v>814081</v>
      </c>
      <c r="X131" s="69">
        <v>1036241</v>
      </c>
      <c r="Y131" s="69">
        <v>978761</v>
      </c>
      <c r="Z131" s="69">
        <v>645556</v>
      </c>
      <c r="AA131" s="69">
        <v>1262836</v>
      </c>
      <c r="AB131" s="69">
        <v>1554667</v>
      </c>
      <c r="AC131" s="69">
        <v>1195233</v>
      </c>
      <c r="AD131" s="69">
        <v>6699771</v>
      </c>
      <c r="AE131" s="69">
        <v>747580</v>
      </c>
      <c r="AF131" s="69">
        <v>1553310</v>
      </c>
      <c r="AG131" s="69">
        <v>1232757</v>
      </c>
      <c r="AH131" s="69">
        <v>980807</v>
      </c>
      <c r="AI131" s="69">
        <v>3184762</v>
      </c>
      <c r="AJ131" s="69">
        <v>723432</v>
      </c>
      <c r="AK131" s="69">
        <v>1759695</v>
      </c>
      <c r="AL131" s="69">
        <v>1332694</v>
      </c>
      <c r="AM131" s="69">
        <v>5208488</v>
      </c>
      <c r="AN131" s="69">
        <v>1293437</v>
      </c>
      <c r="AO131" s="69">
        <v>1921788</v>
      </c>
      <c r="AP131" s="69">
        <v>2356432</v>
      </c>
      <c r="AQ131" s="69">
        <v>5948868</v>
      </c>
      <c r="AR131" s="69">
        <v>10503730</v>
      </c>
      <c r="AS131" s="69">
        <v>1994985</v>
      </c>
      <c r="AT131" s="69">
        <v>6069980</v>
      </c>
      <c r="AU131" s="69">
        <v>1522618</v>
      </c>
      <c r="AV131">
        <v>4076203</v>
      </c>
      <c r="AW131">
        <v>1928771</v>
      </c>
      <c r="AX131">
        <v>1510609</v>
      </c>
    </row>
    <row r="132" spans="1:50" ht="14.5" x14ac:dyDescent="0.35">
      <c r="A132" s="68" t="s">
        <v>259</v>
      </c>
      <c r="B132" s="68" t="str">
        <f>VLOOKUP(Tabelle_Abfrage_von_MS_Access_Database[[#This Row],[LAND]],Texte!$A$4:$C$261,Texte!$A$1+1,FALSE)</f>
        <v>Costa Rica</v>
      </c>
      <c r="C132" s="68" t="s">
        <v>508</v>
      </c>
      <c r="D132" s="68" t="s">
        <v>557</v>
      </c>
      <c r="E132" s="69">
        <v>3429000</v>
      </c>
      <c r="F132" s="69">
        <v>1882000</v>
      </c>
      <c r="G132" s="69">
        <v>2165000</v>
      </c>
      <c r="H132" s="69">
        <v>5614000</v>
      </c>
      <c r="I132" s="69">
        <v>1609000</v>
      </c>
      <c r="J132" s="69">
        <v>3923000</v>
      </c>
      <c r="K132" s="69">
        <v>3750000</v>
      </c>
      <c r="L132" s="69">
        <v>5792000</v>
      </c>
      <c r="M132" s="69">
        <v>3634000</v>
      </c>
      <c r="N132" s="69">
        <v>3059000</v>
      </c>
      <c r="O132" s="69">
        <v>2535000</v>
      </c>
      <c r="P132" s="69">
        <v>4079000</v>
      </c>
      <c r="Q132" s="69">
        <v>5200000</v>
      </c>
      <c r="R132" s="69">
        <v>4158000</v>
      </c>
      <c r="S132" s="69">
        <v>6534000</v>
      </c>
      <c r="T132" s="69">
        <v>6069000</v>
      </c>
      <c r="U132" s="69">
        <v>5239000</v>
      </c>
      <c r="V132" s="69">
        <v>4681373</v>
      </c>
      <c r="W132" s="69">
        <v>4745689</v>
      </c>
      <c r="X132" s="69">
        <v>5922388</v>
      </c>
      <c r="Y132" s="69">
        <v>6231770</v>
      </c>
      <c r="Z132" s="69">
        <v>8679036</v>
      </c>
      <c r="AA132" s="69">
        <v>6867509</v>
      </c>
      <c r="AB132" s="69">
        <v>10750315</v>
      </c>
      <c r="AC132" s="69">
        <v>9747294</v>
      </c>
      <c r="AD132" s="69">
        <v>7523755</v>
      </c>
      <c r="AE132" s="69">
        <v>37426444</v>
      </c>
      <c r="AF132" s="69">
        <v>6602393</v>
      </c>
      <c r="AG132" s="69">
        <v>7829948</v>
      </c>
      <c r="AH132" s="69">
        <v>9615182</v>
      </c>
      <c r="AI132" s="69">
        <v>16150362</v>
      </c>
      <c r="AJ132" s="69">
        <v>30713396</v>
      </c>
      <c r="AK132" s="69">
        <v>16630229</v>
      </c>
      <c r="AL132" s="69">
        <v>13575833</v>
      </c>
      <c r="AM132" s="69">
        <v>20103172</v>
      </c>
      <c r="AN132" s="69">
        <v>32057879</v>
      </c>
      <c r="AO132" s="69">
        <v>42514604</v>
      </c>
      <c r="AP132" s="69">
        <v>19900475</v>
      </c>
      <c r="AQ132" s="69">
        <v>21978848</v>
      </c>
      <c r="AR132" s="69">
        <v>19935309</v>
      </c>
      <c r="AS132" s="69">
        <v>16325640</v>
      </c>
      <c r="AT132" s="69">
        <v>18163788</v>
      </c>
      <c r="AU132" s="69">
        <v>18796051</v>
      </c>
      <c r="AV132">
        <v>14633639</v>
      </c>
      <c r="AW132">
        <v>22945645</v>
      </c>
      <c r="AX132">
        <v>40961569</v>
      </c>
    </row>
    <row r="133" spans="1:50" ht="14.5" x14ac:dyDescent="0.35">
      <c r="A133" s="68" t="s">
        <v>261</v>
      </c>
      <c r="B133" s="68" t="str">
        <f>VLOOKUP(Tabelle_Abfrage_von_MS_Access_Database[[#This Row],[LAND]],Texte!$A$4:$C$261,Texte!$A$1+1,FALSE)</f>
        <v>Panama</v>
      </c>
      <c r="C133" s="68" t="s">
        <v>508</v>
      </c>
      <c r="D133" s="68" t="s">
        <v>557</v>
      </c>
      <c r="E133" s="69">
        <v>3158000</v>
      </c>
      <c r="F133" s="69">
        <v>3946000</v>
      </c>
      <c r="G133" s="69">
        <v>2324000</v>
      </c>
      <c r="H133" s="69">
        <v>2454000</v>
      </c>
      <c r="I133" s="69">
        <v>2634000</v>
      </c>
      <c r="J133" s="69">
        <v>2724000</v>
      </c>
      <c r="K133" s="69">
        <v>3198000</v>
      </c>
      <c r="L133" s="69">
        <v>4632000</v>
      </c>
      <c r="M133" s="69">
        <v>2654000</v>
      </c>
      <c r="N133" s="69">
        <v>2221000</v>
      </c>
      <c r="O133" s="69">
        <v>1324000</v>
      </c>
      <c r="P133" s="69">
        <v>2461000</v>
      </c>
      <c r="Q133" s="69">
        <v>1968000</v>
      </c>
      <c r="R133" s="69">
        <v>2101000</v>
      </c>
      <c r="S133" s="69">
        <v>1345000</v>
      </c>
      <c r="T133" s="69">
        <v>1846000</v>
      </c>
      <c r="U133" s="69">
        <v>2599000</v>
      </c>
      <c r="V133" s="69">
        <v>2659745</v>
      </c>
      <c r="W133" s="69">
        <v>1666099</v>
      </c>
      <c r="X133" s="69">
        <v>2712076</v>
      </c>
      <c r="Y133" s="69">
        <v>2662875</v>
      </c>
      <c r="Z133" s="69">
        <v>4834487</v>
      </c>
      <c r="AA133" s="69">
        <v>5992459</v>
      </c>
      <c r="AB133" s="69">
        <v>21546139</v>
      </c>
      <c r="AC133" s="69">
        <v>5776332</v>
      </c>
      <c r="AD133" s="69">
        <v>5736276</v>
      </c>
      <c r="AE133" s="69">
        <v>6662770</v>
      </c>
      <c r="AF133" s="69">
        <v>31183406</v>
      </c>
      <c r="AG133" s="69">
        <v>10675931</v>
      </c>
      <c r="AH133" s="69">
        <v>20195782</v>
      </c>
      <c r="AI133" s="69">
        <v>19506802</v>
      </c>
      <c r="AJ133" s="69">
        <v>15457803</v>
      </c>
      <c r="AK133" s="69">
        <v>19267273</v>
      </c>
      <c r="AL133" s="69">
        <v>23928428</v>
      </c>
      <c r="AM133" s="69">
        <v>32278875</v>
      </c>
      <c r="AN133" s="69">
        <v>18034440</v>
      </c>
      <c r="AO133" s="69">
        <v>20599988</v>
      </c>
      <c r="AP133" s="69">
        <v>21318239</v>
      </c>
      <c r="AQ133" s="69">
        <v>49560281</v>
      </c>
      <c r="AR133" s="69">
        <v>26877397</v>
      </c>
      <c r="AS133" s="69">
        <v>19747314</v>
      </c>
      <c r="AT133" s="69">
        <v>24861448</v>
      </c>
      <c r="AU133" s="69">
        <v>19941250</v>
      </c>
      <c r="AV133">
        <v>18621323</v>
      </c>
      <c r="AW133">
        <v>19508679</v>
      </c>
      <c r="AX133">
        <v>25582250</v>
      </c>
    </row>
    <row r="134" spans="1:50" ht="14.5" x14ac:dyDescent="0.35">
      <c r="A134" s="68" t="s">
        <v>263</v>
      </c>
      <c r="B134" s="68" t="str">
        <f>VLOOKUP(Tabelle_Abfrage_von_MS_Access_Database[[#This Row],[LAND]],Texte!$A$4:$C$261,Texte!$A$1+1,FALSE)</f>
        <v>Anguilla</v>
      </c>
      <c r="C134" s="68" t="s">
        <v>525</v>
      </c>
      <c r="D134" s="68" t="s">
        <v>557</v>
      </c>
      <c r="E134" s="69">
        <v>0</v>
      </c>
      <c r="F134" s="69">
        <v>0</v>
      </c>
      <c r="G134" s="69">
        <v>0</v>
      </c>
      <c r="H134" s="69">
        <v>0</v>
      </c>
      <c r="I134" s="69">
        <v>0</v>
      </c>
      <c r="J134" s="69">
        <v>0</v>
      </c>
      <c r="K134" s="69">
        <v>0</v>
      </c>
      <c r="L134" s="69">
        <v>0</v>
      </c>
      <c r="M134" s="69">
        <v>0</v>
      </c>
      <c r="N134" s="69">
        <v>0</v>
      </c>
      <c r="O134" s="69">
        <v>0</v>
      </c>
      <c r="P134" s="69">
        <v>0</v>
      </c>
      <c r="Q134" s="69">
        <v>0</v>
      </c>
      <c r="R134" s="69">
        <v>0</v>
      </c>
      <c r="S134" s="69">
        <v>0</v>
      </c>
      <c r="T134" s="69">
        <v>0</v>
      </c>
      <c r="U134" s="69">
        <v>0</v>
      </c>
      <c r="V134" s="69">
        <v>219835</v>
      </c>
      <c r="W134" s="69">
        <v>9521</v>
      </c>
      <c r="X134" s="69">
        <v>4651</v>
      </c>
      <c r="Y134" s="69">
        <v>582</v>
      </c>
      <c r="Z134" s="69">
        <v>25144</v>
      </c>
      <c r="AA134" s="69">
        <v>73544</v>
      </c>
      <c r="AB134" s="69">
        <v>49141</v>
      </c>
      <c r="AC134" s="69">
        <v>47475</v>
      </c>
      <c r="AD134" s="69">
        <v>153172</v>
      </c>
      <c r="AE134" s="69">
        <v>48874</v>
      </c>
      <c r="AF134" s="69">
        <v>51761</v>
      </c>
      <c r="AG134" s="69">
        <v>372431</v>
      </c>
      <c r="AH134" s="69">
        <v>291327</v>
      </c>
      <c r="AI134" s="69">
        <v>27359</v>
      </c>
      <c r="AJ134" s="69">
        <v>64645</v>
      </c>
      <c r="AK134" s="69">
        <v>219739</v>
      </c>
      <c r="AL134" s="69">
        <v>54841</v>
      </c>
      <c r="AM134" s="69">
        <v>17024</v>
      </c>
      <c r="AN134" s="69">
        <v>13550</v>
      </c>
      <c r="AO134" s="69">
        <v>16032</v>
      </c>
      <c r="AP134" s="69">
        <v>6768</v>
      </c>
      <c r="AQ134" s="69">
        <v>66907</v>
      </c>
      <c r="AR134" s="69">
        <v>38886</v>
      </c>
      <c r="AS134" s="69">
        <v>857459</v>
      </c>
      <c r="AT134" s="69">
        <v>95627</v>
      </c>
      <c r="AU134" s="69">
        <v>0</v>
      </c>
      <c r="AV134">
        <v>65203</v>
      </c>
      <c r="AW134">
        <v>5373</v>
      </c>
      <c r="AX134">
        <v>5808</v>
      </c>
    </row>
    <row r="135" spans="1:50" ht="14.5" x14ac:dyDescent="0.35">
      <c r="A135" s="68" t="s">
        <v>265</v>
      </c>
      <c r="B135" s="68" t="str">
        <f>VLOOKUP(Tabelle_Abfrage_von_MS_Access_Database[[#This Row],[LAND]],Texte!$A$4:$C$261,Texte!$A$1+1,FALSE)</f>
        <v>Kuba</v>
      </c>
      <c r="C135" s="68" t="s">
        <v>508</v>
      </c>
      <c r="D135" s="68" t="s">
        <v>557</v>
      </c>
      <c r="E135" s="69">
        <v>6155000</v>
      </c>
      <c r="F135" s="69">
        <v>5538000</v>
      </c>
      <c r="G135" s="69">
        <v>8236000</v>
      </c>
      <c r="H135" s="69">
        <v>9568000</v>
      </c>
      <c r="I135" s="69">
        <v>7822000</v>
      </c>
      <c r="J135" s="69">
        <v>11143000</v>
      </c>
      <c r="K135" s="69">
        <v>18095000</v>
      </c>
      <c r="L135" s="69">
        <v>24554000</v>
      </c>
      <c r="M135" s="69">
        <v>24791000</v>
      </c>
      <c r="N135" s="69">
        <v>9003000</v>
      </c>
      <c r="O135" s="69">
        <v>4422000</v>
      </c>
      <c r="P135" s="69">
        <v>6133000</v>
      </c>
      <c r="Q135" s="69">
        <v>4414000</v>
      </c>
      <c r="R135" s="69">
        <v>2394000</v>
      </c>
      <c r="S135" s="69">
        <v>1190000</v>
      </c>
      <c r="T135" s="69">
        <v>935000</v>
      </c>
      <c r="U135" s="69">
        <v>1938000</v>
      </c>
      <c r="V135" s="69">
        <v>2035131</v>
      </c>
      <c r="W135" s="69">
        <v>1921686</v>
      </c>
      <c r="X135" s="69">
        <v>6408145</v>
      </c>
      <c r="Y135" s="69">
        <v>2443118</v>
      </c>
      <c r="Z135" s="69">
        <v>2383084</v>
      </c>
      <c r="AA135" s="69">
        <v>5358746</v>
      </c>
      <c r="AB135" s="69">
        <v>2902829</v>
      </c>
      <c r="AC135" s="69">
        <v>2105266</v>
      </c>
      <c r="AD135" s="69">
        <v>2729010</v>
      </c>
      <c r="AE135" s="69">
        <v>3232579</v>
      </c>
      <c r="AF135" s="69">
        <v>2886215</v>
      </c>
      <c r="AG135" s="69">
        <v>4217823</v>
      </c>
      <c r="AH135" s="69">
        <v>7700180</v>
      </c>
      <c r="AI135" s="69">
        <v>6499741</v>
      </c>
      <c r="AJ135" s="69">
        <v>13607909</v>
      </c>
      <c r="AK135" s="69">
        <v>12365093</v>
      </c>
      <c r="AL135" s="69">
        <v>8116933</v>
      </c>
      <c r="AM135" s="69">
        <v>6255638</v>
      </c>
      <c r="AN135" s="69">
        <v>12618490</v>
      </c>
      <c r="AO135" s="69">
        <v>6566540</v>
      </c>
      <c r="AP135" s="69">
        <v>9822234</v>
      </c>
      <c r="AQ135" s="69">
        <v>8896272</v>
      </c>
      <c r="AR135" s="69">
        <v>14918464</v>
      </c>
      <c r="AS135" s="69">
        <v>33184311</v>
      </c>
      <c r="AT135" s="69">
        <v>13185464</v>
      </c>
      <c r="AU135" s="69">
        <v>13572714</v>
      </c>
      <c r="AV135">
        <v>8888459</v>
      </c>
      <c r="AW135">
        <v>7507509</v>
      </c>
      <c r="AX135">
        <v>7394699</v>
      </c>
    </row>
    <row r="136" spans="1:50" ht="14.5" x14ac:dyDescent="0.35">
      <c r="A136" s="68" t="s">
        <v>267</v>
      </c>
      <c r="B136" s="68" t="str">
        <f>VLOOKUP(Tabelle_Abfrage_von_MS_Access_Database[[#This Row],[LAND]],Texte!$A$4:$C$261,Texte!$A$1+1,FALSE)</f>
        <v>St.Kitts und Nevis</v>
      </c>
      <c r="C136" s="68" t="s">
        <v>517</v>
      </c>
      <c r="D136" s="68" t="s">
        <v>557</v>
      </c>
      <c r="E136" s="69">
        <v>0</v>
      </c>
      <c r="F136" s="69">
        <v>0</v>
      </c>
      <c r="G136" s="69">
        <v>0</v>
      </c>
      <c r="H136" s="69">
        <v>0</v>
      </c>
      <c r="I136" s="69">
        <v>0</v>
      </c>
      <c r="J136" s="69">
        <v>0</v>
      </c>
      <c r="K136" s="69">
        <v>0</v>
      </c>
      <c r="L136" s="69">
        <v>0</v>
      </c>
      <c r="M136" s="69">
        <v>0</v>
      </c>
      <c r="N136" s="69">
        <v>0</v>
      </c>
      <c r="O136" s="69">
        <v>2000</v>
      </c>
      <c r="P136" s="69">
        <v>25000</v>
      </c>
      <c r="Q136" s="69">
        <v>1037000</v>
      </c>
      <c r="R136" s="69">
        <v>216000</v>
      </c>
      <c r="S136" s="69">
        <v>3000</v>
      </c>
      <c r="T136" s="69">
        <v>26000</v>
      </c>
      <c r="U136" s="69">
        <v>5000</v>
      </c>
      <c r="V136" s="69">
        <v>3706</v>
      </c>
      <c r="W136" s="69">
        <v>11192</v>
      </c>
      <c r="X136" s="69">
        <v>0</v>
      </c>
      <c r="Y136" s="69">
        <v>0</v>
      </c>
      <c r="Z136" s="69">
        <v>1494371</v>
      </c>
      <c r="AA136" s="69">
        <v>0</v>
      </c>
      <c r="AB136" s="69">
        <v>448281</v>
      </c>
      <c r="AC136" s="69">
        <v>16560</v>
      </c>
      <c r="AD136" s="69">
        <v>4617</v>
      </c>
      <c r="AE136" s="69">
        <v>49386</v>
      </c>
      <c r="AF136" s="69">
        <v>178259</v>
      </c>
      <c r="AG136" s="69">
        <v>115252</v>
      </c>
      <c r="AH136" s="69">
        <v>364630</v>
      </c>
      <c r="AI136" s="69">
        <v>525889</v>
      </c>
      <c r="AJ136" s="69">
        <v>110655</v>
      </c>
      <c r="AK136" s="69">
        <v>242280</v>
      </c>
      <c r="AL136" s="69">
        <v>113952</v>
      </c>
      <c r="AM136" s="69">
        <v>77094</v>
      </c>
      <c r="AN136" s="69">
        <v>292230</v>
      </c>
      <c r="AO136" s="69">
        <v>66334</v>
      </c>
      <c r="AP136" s="69">
        <v>100739</v>
      </c>
      <c r="AQ136" s="69">
        <v>198466</v>
      </c>
      <c r="AR136" s="69">
        <v>79648</v>
      </c>
      <c r="AS136" s="69">
        <v>104041</v>
      </c>
      <c r="AT136" s="69">
        <v>203425</v>
      </c>
      <c r="AU136" s="69">
        <v>238212</v>
      </c>
      <c r="AV136">
        <v>40033</v>
      </c>
      <c r="AW136">
        <v>1145684</v>
      </c>
      <c r="AX136">
        <v>128167</v>
      </c>
    </row>
    <row r="137" spans="1:50" ht="14.5" x14ac:dyDescent="0.35">
      <c r="A137" s="68" t="s">
        <v>269</v>
      </c>
      <c r="B137" s="68" t="str">
        <f>VLOOKUP(Tabelle_Abfrage_von_MS_Access_Database[[#This Row],[LAND]],Texte!$A$4:$C$261,Texte!$A$1+1,FALSE)</f>
        <v>Haiti</v>
      </c>
      <c r="C137" s="68" t="s">
        <v>508</v>
      </c>
      <c r="D137" s="68" t="s">
        <v>557</v>
      </c>
      <c r="E137" s="69">
        <v>649000</v>
      </c>
      <c r="F137" s="69">
        <v>418000</v>
      </c>
      <c r="G137" s="69">
        <v>2405000</v>
      </c>
      <c r="H137" s="69">
        <v>729000</v>
      </c>
      <c r="I137" s="69">
        <v>1076000</v>
      </c>
      <c r="J137" s="69">
        <v>755000</v>
      </c>
      <c r="K137" s="69">
        <v>1958000</v>
      </c>
      <c r="L137" s="69">
        <v>1394000</v>
      </c>
      <c r="M137" s="69">
        <v>494000</v>
      </c>
      <c r="N137" s="69">
        <v>332000</v>
      </c>
      <c r="O137" s="69">
        <v>433000</v>
      </c>
      <c r="P137" s="69">
        <v>288000</v>
      </c>
      <c r="Q137" s="69">
        <v>372000</v>
      </c>
      <c r="R137" s="69">
        <v>185000</v>
      </c>
      <c r="S137" s="69">
        <v>232000</v>
      </c>
      <c r="T137" s="69">
        <v>149000</v>
      </c>
      <c r="U137" s="69">
        <v>34000</v>
      </c>
      <c r="V137" s="69">
        <v>318814</v>
      </c>
      <c r="W137" s="69">
        <v>359659</v>
      </c>
      <c r="X137" s="69">
        <v>718370</v>
      </c>
      <c r="Y137" s="69">
        <v>1607159</v>
      </c>
      <c r="Z137" s="69">
        <v>1035222</v>
      </c>
      <c r="AA137" s="69">
        <v>880577</v>
      </c>
      <c r="AB137" s="69">
        <v>2254643</v>
      </c>
      <c r="AC137" s="69">
        <v>3729441</v>
      </c>
      <c r="AD137" s="69">
        <v>1576600</v>
      </c>
      <c r="AE137" s="69">
        <v>718287</v>
      </c>
      <c r="AF137" s="69">
        <v>941611</v>
      </c>
      <c r="AG137" s="69">
        <v>1080338</v>
      </c>
      <c r="AH137" s="69">
        <v>1292100</v>
      </c>
      <c r="AI137" s="69">
        <v>1362247</v>
      </c>
      <c r="AJ137" s="69">
        <v>2304734</v>
      </c>
      <c r="AK137" s="69">
        <v>1828286</v>
      </c>
      <c r="AL137" s="69">
        <v>1774946</v>
      </c>
      <c r="AM137" s="69">
        <v>1234557</v>
      </c>
      <c r="AN137" s="69">
        <v>937643</v>
      </c>
      <c r="AO137" s="69">
        <v>1321433</v>
      </c>
      <c r="AP137" s="69">
        <v>1094626</v>
      </c>
      <c r="AQ137" s="69">
        <v>1358875</v>
      </c>
      <c r="AR137" s="69">
        <v>982851</v>
      </c>
      <c r="AS137" s="69">
        <v>1366376</v>
      </c>
      <c r="AT137" s="69">
        <v>1466889</v>
      </c>
      <c r="AU137" s="69">
        <v>1370394</v>
      </c>
      <c r="AV137">
        <v>1797200</v>
      </c>
      <c r="AW137">
        <v>1289046</v>
      </c>
      <c r="AX137">
        <v>1192325</v>
      </c>
    </row>
    <row r="138" spans="1:50" ht="14.5" x14ac:dyDescent="0.35">
      <c r="A138" s="68" t="s">
        <v>271</v>
      </c>
      <c r="B138" s="68" t="str">
        <f>VLOOKUP(Tabelle_Abfrage_von_MS_Access_Database[[#This Row],[LAND]],Texte!$A$4:$C$261,Texte!$A$1+1,FALSE)</f>
        <v>Bahamas</v>
      </c>
      <c r="C138" s="68" t="s">
        <v>508</v>
      </c>
      <c r="D138" s="68" t="s">
        <v>557</v>
      </c>
      <c r="E138" s="69">
        <v>24000</v>
      </c>
      <c r="F138" s="69">
        <v>23000</v>
      </c>
      <c r="G138" s="69">
        <v>181000</v>
      </c>
      <c r="H138" s="69">
        <v>206000</v>
      </c>
      <c r="I138" s="69">
        <v>289000</v>
      </c>
      <c r="J138" s="69">
        <v>812000</v>
      </c>
      <c r="K138" s="69">
        <v>1535000</v>
      </c>
      <c r="L138" s="69">
        <v>1605000</v>
      </c>
      <c r="M138" s="69">
        <v>1134000</v>
      </c>
      <c r="N138" s="69">
        <v>1194000</v>
      </c>
      <c r="O138" s="69">
        <v>3316000</v>
      </c>
      <c r="P138" s="69">
        <v>4300000</v>
      </c>
      <c r="Q138" s="69">
        <v>2182000</v>
      </c>
      <c r="R138" s="69">
        <v>3935000</v>
      </c>
      <c r="S138" s="69">
        <v>4557000</v>
      </c>
      <c r="T138" s="69">
        <v>3300000</v>
      </c>
      <c r="U138" s="69">
        <v>656000</v>
      </c>
      <c r="V138" s="69">
        <v>886318</v>
      </c>
      <c r="W138" s="69">
        <v>738138</v>
      </c>
      <c r="X138" s="69">
        <v>1018005</v>
      </c>
      <c r="Y138" s="69">
        <v>2138979</v>
      </c>
      <c r="Z138" s="69">
        <v>1314797</v>
      </c>
      <c r="AA138" s="69">
        <v>1291759</v>
      </c>
      <c r="AB138" s="69">
        <v>1180049</v>
      </c>
      <c r="AC138" s="69">
        <v>1443752</v>
      </c>
      <c r="AD138" s="69">
        <v>700978</v>
      </c>
      <c r="AE138" s="69">
        <v>1573540</v>
      </c>
      <c r="AF138" s="69">
        <v>1287476</v>
      </c>
      <c r="AG138" s="69">
        <v>3556731</v>
      </c>
      <c r="AH138" s="69">
        <v>20056686</v>
      </c>
      <c r="AI138" s="69">
        <v>15440520</v>
      </c>
      <c r="AJ138" s="69">
        <v>8381035</v>
      </c>
      <c r="AK138" s="69">
        <v>10003639</v>
      </c>
      <c r="AL138" s="69">
        <v>9190849</v>
      </c>
      <c r="AM138" s="69">
        <v>9388414</v>
      </c>
      <c r="AN138" s="69">
        <v>10497696</v>
      </c>
      <c r="AO138" s="69">
        <v>11574292</v>
      </c>
      <c r="AP138" s="69">
        <v>7704512</v>
      </c>
      <c r="AQ138" s="69">
        <v>9114059</v>
      </c>
      <c r="AR138" s="69">
        <v>5368145</v>
      </c>
      <c r="AS138" s="69">
        <v>7321546</v>
      </c>
      <c r="AT138" s="69">
        <v>5949548</v>
      </c>
      <c r="AU138" s="69">
        <v>8006581</v>
      </c>
      <c r="AV138">
        <v>9232782</v>
      </c>
      <c r="AW138">
        <v>12546894</v>
      </c>
      <c r="AX138">
        <v>12808626</v>
      </c>
    </row>
    <row r="139" spans="1:50" ht="14.5" x14ac:dyDescent="0.35">
      <c r="A139" s="68" t="s">
        <v>273</v>
      </c>
      <c r="B139" s="68" t="str">
        <f>VLOOKUP(Tabelle_Abfrage_von_MS_Access_Database[[#This Row],[LAND]],Texte!$A$4:$C$261,Texte!$A$1+1,FALSE)</f>
        <v>Turks-und Caicosinseln</v>
      </c>
      <c r="C139" s="68" t="s">
        <v>512</v>
      </c>
      <c r="D139" s="68" t="s">
        <v>557</v>
      </c>
      <c r="E139" s="69">
        <v>0</v>
      </c>
      <c r="F139" s="69">
        <v>0</v>
      </c>
      <c r="G139" s="69">
        <v>0</v>
      </c>
      <c r="H139" s="69">
        <v>0</v>
      </c>
      <c r="I139" s="69">
        <v>0</v>
      </c>
      <c r="J139" s="69">
        <v>1000</v>
      </c>
      <c r="K139" s="69">
        <v>0</v>
      </c>
      <c r="L139" s="69">
        <v>0</v>
      </c>
      <c r="M139" s="69">
        <v>0</v>
      </c>
      <c r="N139" s="69">
        <v>0</v>
      </c>
      <c r="O139" s="69">
        <v>16000</v>
      </c>
      <c r="P139" s="69">
        <v>0</v>
      </c>
      <c r="Q139" s="69">
        <v>15000</v>
      </c>
      <c r="R139" s="69">
        <v>4000</v>
      </c>
      <c r="S139" s="69">
        <v>1000</v>
      </c>
      <c r="T139" s="69">
        <v>5000</v>
      </c>
      <c r="U139" s="69">
        <v>0</v>
      </c>
      <c r="V139" s="69">
        <v>0</v>
      </c>
      <c r="W139" s="69">
        <v>0</v>
      </c>
      <c r="X139" s="69">
        <v>83864</v>
      </c>
      <c r="Y139" s="69">
        <v>0</v>
      </c>
      <c r="Z139" s="69">
        <v>21656</v>
      </c>
      <c r="AA139" s="69">
        <v>25435</v>
      </c>
      <c r="AB139" s="69">
        <v>23624</v>
      </c>
      <c r="AC139" s="69">
        <v>11251</v>
      </c>
      <c r="AD139" s="69">
        <v>29094</v>
      </c>
      <c r="AE139" s="69">
        <v>3792</v>
      </c>
      <c r="AF139" s="69">
        <v>25259</v>
      </c>
      <c r="AG139" s="69">
        <v>94084</v>
      </c>
      <c r="AH139" s="69">
        <v>157922</v>
      </c>
      <c r="AI139" s="69">
        <v>119565</v>
      </c>
      <c r="AJ139" s="69">
        <v>64173</v>
      </c>
      <c r="AK139" s="69">
        <v>56955</v>
      </c>
      <c r="AL139" s="69">
        <v>65166</v>
      </c>
      <c r="AM139" s="69">
        <v>97136</v>
      </c>
      <c r="AN139" s="69">
        <v>72348</v>
      </c>
      <c r="AO139" s="69">
        <v>44306</v>
      </c>
      <c r="AP139" s="69">
        <v>82051</v>
      </c>
      <c r="AQ139" s="69">
        <v>61373</v>
      </c>
      <c r="AR139" s="69">
        <v>71830</v>
      </c>
      <c r="AS139" s="69">
        <v>67204</v>
      </c>
      <c r="AT139" s="69">
        <v>91114</v>
      </c>
      <c r="AU139" s="69">
        <v>39271</v>
      </c>
      <c r="AV139">
        <v>82919</v>
      </c>
      <c r="AW139">
        <v>73836</v>
      </c>
      <c r="AX139">
        <v>1660981</v>
      </c>
    </row>
    <row r="140" spans="1:50" ht="14.5" x14ac:dyDescent="0.35">
      <c r="A140" s="68" t="s">
        <v>275</v>
      </c>
      <c r="B140" s="68" t="str">
        <f>VLOOKUP(Tabelle_Abfrage_von_MS_Access_Database[[#This Row],[LAND]],Texte!$A$4:$C$261,Texte!$A$1+1,FALSE)</f>
        <v>Dominikanische Republik</v>
      </c>
      <c r="C140" s="68" t="s">
        <v>508</v>
      </c>
      <c r="D140" s="68" t="s">
        <v>557</v>
      </c>
      <c r="E140" s="69">
        <v>1341000</v>
      </c>
      <c r="F140" s="69">
        <v>1711000</v>
      </c>
      <c r="G140" s="69">
        <v>4785000</v>
      </c>
      <c r="H140" s="69">
        <v>1891000</v>
      </c>
      <c r="I140" s="69">
        <v>1766000</v>
      </c>
      <c r="J140" s="69">
        <v>2270000</v>
      </c>
      <c r="K140" s="69">
        <v>1862000</v>
      </c>
      <c r="L140" s="69">
        <v>3144000</v>
      </c>
      <c r="M140" s="69">
        <v>1508000</v>
      </c>
      <c r="N140" s="69">
        <v>3406000</v>
      </c>
      <c r="O140" s="69">
        <v>2366000</v>
      </c>
      <c r="P140" s="69">
        <v>3826000</v>
      </c>
      <c r="Q140" s="69">
        <v>1506000</v>
      </c>
      <c r="R140" s="69">
        <v>2036000</v>
      </c>
      <c r="S140" s="69">
        <v>2061000</v>
      </c>
      <c r="T140" s="69">
        <v>2530000</v>
      </c>
      <c r="U140" s="69">
        <v>2133000</v>
      </c>
      <c r="V140" s="69">
        <v>2095593</v>
      </c>
      <c r="W140" s="69">
        <v>4270839</v>
      </c>
      <c r="X140" s="69">
        <v>3057928</v>
      </c>
      <c r="Y140" s="69">
        <v>2939687</v>
      </c>
      <c r="Z140" s="69">
        <v>2962141</v>
      </c>
      <c r="AA140" s="69">
        <v>8996175</v>
      </c>
      <c r="AB140" s="69">
        <v>5990470</v>
      </c>
      <c r="AC140" s="69">
        <v>6857515</v>
      </c>
      <c r="AD140" s="69">
        <v>3768118</v>
      </c>
      <c r="AE140" s="69">
        <v>5153945</v>
      </c>
      <c r="AF140" s="69">
        <v>6378540</v>
      </c>
      <c r="AG140" s="69">
        <v>8242396</v>
      </c>
      <c r="AH140" s="69">
        <v>13100770</v>
      </c>
      <c r="AI140" s="69">
        <v>10893688</v>
      </c>
      <c r="AJ140" s="69">
        <v>8505046</v>
      </c>
      <c r="AK140" s="69">
        <v>15606590</v>
      </c>
      <c r="AL140" s="69">
        <v>9922865</v>
      </c>
      <c r="AM140" s="69">
        <v>8260033</v>
      </c>
      <c r="AN140" s="69">
        <v>8583269</v>
      </c>
      <c r="AO140" s="69">
        <v>9299998</v>
      </c>
      <c r="AP140" s="69">
        <v>10662444</v>
      </c>
      <c r="AQ140" s="69">
        <v>11776985</v>
      </c>
      <c r="AR140" s="69">
        <v>16365378</v>
      </c>
      <c r="AS140" s="69">
        <v>19002145</v>
      </c>
      <c r="AT140" s="69">
        <v>20785190</v>
      </c>
      <c r="AU140" s="69">
        <v>18223690</v>
      </c>
      <c r="AV140">
        <v>27336768</v>
      </c>
      <c r="AW140">
        <v>43939659</v>
      </c>
      <c r="AX140">
        <v>30929833</v>
      </c>
    </row>
    <row r="141" spans="1:50" ht="14.5" x14ac:dyDescent="0.35">
      <c r="A141" s="68" t="s">
        <v>277</v>
      </c>
      <c r="B141" s="68" t="str">
        <f>VLOOKUP(Tabelle_Abfrage_von_MS_Access_Database[[#This Row],[LAND]],Texte!$A$4:$C$261,Texte!$A$1+1,FALSE)</f>
        <v>Amerik.Jungferninseln</v>
      </c>
      <c r="C141" s="68" t="s">
        <v>513</v>
      </c>
      <c r="D141" s="68" t="s">
        <v>557</v>
      </c>
      <c r="E141" s="69">
        <v>0</v>
      </c>
      <c r="F141" s="69">
        <v>0</v>
      </c>
      <c r="G141" s="69">
        <v>0</v>
      </c>
      <c r="H141" s="69">
        <v>0</v>
      </c>
      <c r="I141" s="69">
        <v>0</v>
      </c>
      <c r="J141" s="69">
        <v>34000</v>
      </c>
      <c r="K141" s="69">
        <v>317000</v>
      </c>
      <c r="L141" s="69">
        <v>445000</v>
      </c>
      <c r="M141" s="69">
        <v>333000</v>
      </c>
      <c r="N141" s="69">
        <v>117000</v>
      </c>
      <c r="O141" s="69">
        <v>52000</v>
      </c>
      <c r="P141" s="69">
        <v>179000</v>
      </c>
      <c r="Q141" s="69">
        <v>51000</v>
      </c>
      <c r="R141" s="69">
        <v>35000</v>
      </c>
      <c r="S141" s="69">
        <v>24000</v>
      </c>
      <c r="T141" s="69">
        <v>9000</v>
      </c>
      <c r="U141" s="69">
        <v>18000</v>
      </c>
      <c r="V141" s="69">
        <v>9883</v>
      </c>
      <c r="W141" s="69">
        <v>6904</v>
      </c>
      <c r="X141" s="69">
        <v>3343</v>
      </c>
      <c r="Y141" s="69">
        <v>6904</v>
      </c>
      <c r="Z141" s="69">
        <v>8574</v>
      </c>
      <c r="AA141" s="69">
        <v>129795</v>
      </c>
      <c r="AB141" s="69">
        <v>144757</v>
      </c>
      <c r="AC141" s="69">
        <v>142260</v>
      </c>
      <c r="AD141" s="69">
        <v>229797</v>
      </c>
      <c r="AE141" s="69">
        <v>6625891</v>
      </c>
      <c r="AF141" s="69">
        <v>137084</v>
      </c>
      <c r="AG141" s="69">
        <v>326929</v>
      </c>
      <c r="AH141" s="69">
        <v>460595</v>
      </c>
      <c r="AI141" s="69">
        <v>394838</v>
      </c>
      <c r="AJ141" s="69">
        <v>194652</v>
      </c>
      <c r="AK141" s="69">
        <v>256260</v>
      </c>
      <c r="AL141" s="69">
        <v>213152</v>
      </c>
      <c r="AM141" s="69">
        <v>211117</v>
      </c>
      <c r="AN141" s="69">
        <v>312897</v>
      </c>
      <c r="AO141" s="69">
        <v>544734</v>
      </c>
      <c r="AP141" s="69">
        <v>424271</v>
      </c>
      <c r="AQ141" s="69">
        <v>260794</v>
      </c>
      <c r="AR141" s="69">
        <v>295714</v>
      </c>
      <c r="AS141" s="69">
        <v>206057</v>
      </c>
      <c r="AT141" s="69">
        <v>251484</v>
      </c>
      <c r="AU141" s="69">
        <v>190030</v>
      </c>
      <c r="AV141">
        <v>224098</v>
      </c>
      <c r="AW141">
        <v>333922</v>
      </c>
      <c r="AX141">
        <v>297819</v>
      </c>
    </row>
    <row r="142" spans="1:50" ht="14.5" x14ac:dyDescent="0.35">
      <c r="A142" s="68" t="s">
        <v>279</v>
      </c>
      <c r="B142" s="68" t="str">
        <f>VLOOKUP(Tabelle_Abfrage_von_MS_Access_Database[[#This Row],[LAND]],Texte!$A$4:$C$261,Texte!$A$1+1,FALSE)</f>
        <v>Guadeloupe</v>
      </c>
      <c r="C142" s="68" t="s">
        <v>508</v>
      </c>
      <c r="D142" s="68" t="s">
        <v>526</v>
      </c>
      <c r="E142" s="69">
        <v>422000</v>
      </c>
      <c r="F142" s="69">
        <v>415000</v>
      </c>
      <c r="G142" s="69">
        <v>355000</v>
      </c>
      <c r="H142" s="69">
        <v>696000</v>
      </c>
      <c r="I142" s="69">
        <v>518000</v>
      </c>
      <c r="J142" s="69">
        <v>389000</v>
      </c>
      <c r="K142" s="69">
        <v>575000</v>
      </c>
      <c r="L142" s="69">
        <v>548000</v>
      </c>
      <c r="M142" s="69">
        <v>823000</v>
      </c>
      <c r="N142" s="69">
        <v>653000</v>
      </c>
      <c r="O142" s="69">
        <v>554000</v>
      </c>
      <c r="P142" s="69">
        <v>604000</v>
      </c>
      <c r="Q142" s="69">
        <v>687000</v>
      </c>
      <c r="R142" s="69">
        <v>1074000</v>
      </c>
      <c r="S142" s="69">
        <v>1025000</v>
      </c>
      <c r="T142" s="69">
        <v>1570000</v>
      </c>
      <c r="U142" s="69">
        <v>1455000</v>
      </c>
      <c r="V142" s="69">
        <v>842426</v>
      </c>
      <c r="W142" s="69">
        <v>503043</v>
      </c>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row>
    <row r="143" spans="1:50" ht="14.5" x14ac:dyDescent="0.35">
      <c r="A143" s="68" t="s">
        <v>281</v>
      </c>
      <c r="B143" s="68" t="str">
        <f>VLOOKUP(Tabelle_Abfrage_von_MS_Access_Database[[#This Row],[LAND]],Texte!$A$4:$C$261,Texte!$A$1+1,FALSE)</f>
        <v>Antigua und Barbuda</v>
      </c>
      <c r="C143" s="68" t="s">
        <v>513</v>
      </c>
      <c r="D143" s="68" t="s">
        <v>557</v>
      </c>
      <c r="E143" s="69">
        <v>0</v>
      </c>
      <c r="F143" s="69">
        <v>0</v>
      </c>
      <c r="G143" s="69">
        <v>0</v>
      </c>
      <c r="H143" s="69">
        <v>0</v>
      </c>
      <c r="I143" s="69">
        <v>0</v>
      </c>
      <c r="J143" s="69">
        <v>5000</v>
      </c>
      <c r="K143" s="69">
        <v>9000</v>
      </c>
      <c r="L143" s="69">
        <v>14000</v>
      </c>
      <c r="M143" s="69">
        <v>10000</v>
      </c>
      <c r="N143" s="69">
        <v>10000</v>
      </c>
      <c r="O143" s="69">
        <v>207000</v>
      </c>
      <c r="P143" s="69">
        <v>315000</v>
      </c>
      <c r="Q143" s="69">
        <v>3569000</v>
      </c>
      <c r="R143" s="69">
        <v>348000</v>
      </c>
      <c r="S143" s="69">
        <v>289000</v>
      </c>
      <c r="T143" s="69">
        <v>264000</v>
      </c>
      <c r="U143" s="69">
        <v>177000</v>
      </c>
      <c r="V143" s="69">
        <v>66278</v>
      </c>
      <c r="W143" s="69">
        <v>27252</v>
      </c>
      <c r="X143" s="69">
        <v>42005</v>
      </c>
      <c r="Y143" s="69">
        <v>319326</v>
      </c>
      <c r="Z143" s="69">
        <v>195925</v>
      </c>
      <c r="AA143" s="69">
        <v>186915</v>
      </c>
      <c r="AB143" s="69">
        <v>4486978</v>
      </c>
      <c r="AC143" s="69">
        <v>69846</v>
      </c>
      <c r="AD143" s="69">
        <v>140405</v>
      </c>
      <c r="AE143" s="69">
        <v>171765</v>
      </c>
      <c r="AF143" s="69">
        <v>1541611</v>
      </c>
      <c r="AG143" s="69">
        <v>509083</v>
      </c>
      <c r="AH143" s="69">
        <v>472441</v>
      </c>
      <c r="AI143" s="69">
        <v>379627</v>
      </c>
      <c r="AJ143" s="69">
        <v>163935</v>
      </c>
      <c r="AK143" s="69">
        <v>197491</v>
      </c>
      <c r="AL143" s="69">
        <v>164826</v>
      </c>
      <c r="AM143" s="69">
        <v>176428</v>
      </c>
      <c r="AN143" s="69">
        <v>101549</v>
      </c>
      <c r="AO143" s="69">
        <v>484787</v>
      </c>
      <c r="AP143" s="69">
        <v>241065</v>
      </c>
      <c r="AQ143" s="69">
        <v>246960</v>
      </c>
      <c r="AR143" s="69">
        <v>1281983</v>
      </c>
      <c r="AS143" s="69">
        <v>1589126</v>
      </c>
      <c r="AT143" s="69">
        <v>263433</v>
      </c>
      <c r="AU143" s="69">
        <v>221873</v>
      </c>
      <c r="AV143">
        <v>571310</v>
      </c>
      <c r="AW143">
        <v>1588502</v>
      </c>
      <c r="AX143">
        <v>504248</v>
      </c>
    </row>
    <row r="144" spans="1:50" ht="14.5" x14ac:dyDescent="0.35">
      <c r="A144" s="68" t="s">
        <v>283</v>
      </c>
      <c r="B144" s="68" t="str">
        <f>VLOOKUP(Tabelle_Abfrage_von_MS_Access_Database[[#This Row],[LAND]],Texte!$A$4:$C$261,Texte!$A$1+1,FALSE)</f>
        <v>Dominica</v>
      </c>
      <c r="C144" s="68" t="s">
        <v>512</v>
      </c>
      <c r="D144" s="68" t="s">
        <v>557</v>
      </c>
      <c r="E144" s="69">
        <v>0</v>
      </c>
      <c r="F144" s="69">
        <v>0</v>
      </c>
      <c r="G144" s="69">
        <v>0</v>
      </c>
      <c r="H144" s="69">
        <v>0</v>
      </c>
      <c r="I144" s="69">
        <v>11000</v>
      </c>
      <c r="J144" s="69">
        <v>74000</v>
      </c>
      <c r="K144" s="69">
        <v>3000</v>
      </c>
      <c r="L144" s="69">
        <v>34000</v>
      </c>
      <c r="M144" s="69">
        <v>37000</v>
      </c>
      <c r="N144" s="69">
        <v>123000</v>
      </c>
      <c r="O144" s="69">
        <v>236000</v>
      </c>
      <c r="P144" s="69">
        <v>64000</v>
      </c>
      <c r="Q144" s="69">
        <v>69000</v>
      </c>
      <c r="R144" s="69">
        <v>44000</v>
      </c>
      <c r="S144" s="69">
        <v>432000</v>
      </c>
      <c r="T144" s="69">
        <v>178000</v>
      </c>
      <c r="U144" s="69">
        <v>356000</v>
      </c>
      <c r="V144" s="69">
        <v>59518</v>
      </c>
      <c r="W144" s="69">
        <v>18168</v>
      </c>
      <c r="X144" s="69">
        <v>45856</v>
      </c>
      <c r="Y144" s="69">
        <v>14100</v>
      </c>
      <c r="Z144" s="69">
        <v>27108</v>
      </c>
      <c r="AA144" s="69">
        <v>218525</v>
      </c>
      <c r="AB144" s="69">
        <v>35923</v>
      </c>
      <c r="AC144" s="69">
        <v>150139</v>
      </c>
      <c r="AD144" s="69">
        <v>572840</v>
      </c>
      <c r="AE144" s="69">
        <v>11883</v>
      </c>
      <c r="AF144" s="69">
        <v>328714</v>
      </c>
      <c r="AG144" s="69">
        <v>1525931</v>
      </c>
      <c r="AH144" s="69">
        <v>54827</v>
      </c>
      <c r="AI144" s="69">
        <v>352918</v>
      </c>
      <c r="AJ144" s="69">
        <v>381323</v>
      </c>
      <c r="AK144" s="69">
        <v>46447</v>
      </c>
      <c r="AL144" s="69">
        <v>69501</v>
      </c>
      <c r="AM144" s="69">
        <v>29934</v>
      </c>
      <c r="AN144" s="69">
        <v>17895</v>
      </c>
      <c r="AO144" s="69">
        <v>79694</v>
      </c>
      <c r="AP144" s="69">
        <v>279423</v>
      </c>
      <c r="AQ144" s="69">
        <v>357280</v>
      </c>
      <c r="AR144" s="69">
        <v>545003</v>
      </c>
      <c r="AS144" s="69">
        <v>66331</v>
      </c>
      <c r="AT144" s="69">
        <v>219284</v>
      </c>
      <c r="AU144" s="69">
        <v>119662</v>
      </c>
      <c r="AV144">
        <v>1183171</v>
      </c>
      <c r="AW144">
        <v>3193006</v>
      </c>
      <c r="AX144">
        <v>505135</v>
      </c>
    </row>
    <row r="145" spans="1:50" ht="14.5" x14ac:dyDescent="0.35">
      <c r="A145" s="68" t="s">
        <v>285</v>
      </c>
      <c r="B145" s="68" t="str">
        <f>VLOOKUP(Tabelle_Abfrage_von_MS_Access_Database[[#This Row],[LAND]],Texte!$A$4:$C$261,Texte!$A$1+1,FALSE)</f>
        <v>Martinique</v>
      </c>
      <c r="C145" s="68" t="s">
        <v>525</v>
      </c>
      <c r="D145" s="68" t="s">
        <v>526</v>
      </c>
      <c r="E145" s="69">
        <v>0</v>
      </c>
      <c r="F145" s="69">
        <v>0</v>
      </c>
      <c r="G145" s="69">
        <v>0</v>
      </c>
      <c r="H145" s="69">
        <v>0</v>
      </c>
      <c r="I145" s="69">
        <v>0</v>
      </c>
      <c r="J145" s="69">
        <v>0</v>
      </c>
      <c r="K145" s="69">
        <v>0</v>
      </c>
      <c r="L145" s="69">
        <v>0</v>
      </c>
      <c r="M145" s="69">
        <v>0</v>
      </c>
      <c r="N145" s="69">
        <v>0</v>
      </c>
      <c r="O145" s="69">
        <v>0</v>
      </c>
      <c r="P145" s="69">
        <v>0</v>
      </c>
      <c r="Q145" s="69">
        <v>0</v>
      </c>
      <c r="R145" s="69">
        <v>0</v>
      </c>
      <c r="S145" s="69">
        <v>0</v>
      </c>
      <c r="T145" s="69">
        <v>0</v>
      </c>
      <c r="U145" s="69">
        <v>0</v>
      </c>
      <c r="V145" s="69">
        <v>960734</v>
      </c>
      <c r="W145" s="69">
        <v>559653</v>
      </c>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row>
    <row r="146" spans="1:50" ht="14.5" x14ac:dyDescent="0.35">
      <c r="A146" s="68" t="s">
        <v>287</v>
      </c>
      <c r="B146" s="68" t="str">
        <f>VLOOKUP(Tabelle_Abfrage_von_MS_Access_Database[[#This Row],[LAND]],Texte!$A$4:$C$261,Texte!$A$1+1,FALSE)</f>
        <v>Kaimaninseln</v>
      </c>
      <c r="C146" s="68" t="s">
        <v>512</v>
      </c>
      <c r="D146" s="68" t="s">
        <v>557</v>
      </c>
      <c r="E146" s="69">
        <v>0</v>
      </c>
      <c r="F146" s="69">
        <v>0</v>
      </c>
      <c r="G146" s="69">
        <v>0</v>
      </c>
      <c r="H146" s="69">
        <v>0</v>
      </c>
      <c r="I146" s="69">
        <v>219000</v>
      </c>
      <c r="J146" s="69">
        <v>51000</v>
      </c>
      <c r="K146" s="69">
        <v>68000</v>
      </c>
      <c r="L146" s="69">
        <v>111000</v>
      </c>
      <c r="M146" s="69">
        <v>469000</v>
      </c>
      <c r="N146" s="69">
        <v>224000</v>
      </c>
      <c r="O146" s="69">
        <v>51000</v>
      </c>
      <c r="P146" s="69">
        <v>64000</v>
      </c>
      <c r="Q146" s="69">
        <v>12000</v>
      </c>
      <c r="R146" s="69">
        <v>46000</v>
      </c>
      <c r="S146" s="69">
        <v>25000</v>
      </c>
      <c r="T146" s="69">
        <v>13000</v>
      </c>
      <c r="U146" s="69">
        <v>11000</v>
      </c>
      <c r="V146" s="69">
        <v>0</v>
      </c>
      <c r="W146" s="69">
        <v>3706</v>
      </c>
      <c r="X146" s="69">
        <v>719607</v>
      </c>
      <c r="Y146" s="69">
        <v>0</v>
      </c>
      <c r="Z146" s="69">
        <v>61553</v>
      </c>
      <c r="AA146" s="69">
        <v>73180</v>
      </c>
      <c r="AB146" s="69">
        <v>286897</v>
      </c>
      <c r="AC146" s="69">
        <v>142039</v>
      </c>
      <c r="AD146" s="69">
        <v>227409</v>
      </c>
      <c r="AE146" s="69">
        <v>363222</v>
      </c>
      <c r="AF146" s="69">
        <v>704144</v>
      </c>
      <c r="AG146" s="69">
        <v>669359</v>
      </c>
      <c r="AH146" s="69">
        <v>654318</v>
      </c>
      <c r="AI146" s="69">
        <v>613644</v>
      </c>
      <c r="AJ146" s="69">
        <v>683225</v>
      </c>
      <c r="AK146" s="69">
        <v>419713</v>
      </c>
      <c r="AL146" s="69">
        <v>408421</v>
      </c>
      <c r="AM146" s="69">
        <v>863236</v>
      </c>
      <c r="AN146" s="69">
        <v>414237</v>
      </c>
      <c r="AO146" s="69">
        <v>9087512</v>
      </c>
      <c r="AP146" s="69">
        <v>508213</v>
      </c>
      <c r="AQ146" s="69">
        <v>1083859</v>
      </c>
      <c r="AR146" s="69">
        <v>994221</v>
      </c>
      <c r="AS146" s="69">
        <v>5405334</v>
      </c>
      <c r="AT146" s="69">
        <v>716015</v>
      </c>
      <c r="AU146" s="69">
        <v>312664</v>
      </c>
      <c r="AV146">
        <v>1314595</v>
      </c>
      <c r="AW146">
        <v>1142036</v>
      </c>
      <c r="AX146">
        <v>912693</v>
      </c>
    </row>
    <row r="147" spans="1:50" ht="14.5" x14ac:dyDescent="0.35">
      <c r="A147" s="68" t="s">
        <v>289</v>
      </c>
      <c r="B147" s="68" t="str">
        <f>VLOOKUP(Tabelle_Abfrage_von_MS_Access_Database[[#This Row],[LAND]],Texte!$A$4:$C$261,Texte!$A$1+1,FALSE)</f>
        <v>Jamaika</v>
      </c>
      <c r="C147" s="68" t="s">
        <v>508</v>
      </c>
      <c r="D147" s="68" t="s">
        <v>557</v>
      </c>
      <c r="E147" s="69">
        <v>199000</v>
      </c>
      <c r="F147" s="69">
        <v>119000</v>
      </c>
      <c r="G147" s="69">
        <v>291000</v>
      </c>
      <c r="H147" s="69">
        <v>324000</v>
      </c>
      <c r="I147" s="69">
        <v>733000</v>
      </c>
      <c r="J147" s="69">
        <v>624000</v>
      </c>
      <c r="K147" s="69">
        <v>1381000</v>
      </c>
      <c r="L147" s="69">
        <v>501000</v>
      </c>
      <c r="M147" s="69">
        <v>1154000</v>
      </c>
      <c r="N147" s="69">
        <v>7746000</v>
      </c>
      <c r="O147" s="69">
        <v>520000</v>
      </c>
      <c r="P147" s="69">
        <v>312000</v>
      </c>
      <c r="Q147" s="69">
        <v>1323000</v>
      </c>
      <c r="R147" s="69">
        <v>727000</v>
      </c>
      <c r="S147" s="69">
        <v>982000</v>
      </c>
      <c r="T147" s="69">
        <v>2685000</v>
      </c>
      <c r="U147" s="69">
        <v>7834000</v>
      </c>
      <c r="V147" s="69">
        <v>482403</v>
      </c>
      <c r="W147" s="69">
        <v>957973</v>
      </c>
      <c r="X147" s="69">
        <v>421139</v>
      </c>
      <c r="Y147" s="69">
        <v>596282</v>
      </c>
      <c r="Z147" s="69">
        <v>986673</v>
      </c>
      <c r="AA147" s="69">
        <v>1123596</v>
      </c>
      <c r="AB147" s="69">
        <v>2049233</v>
      </c>
      <c r="AC147" s="69">
        <v>2745086</v>
      </c>
      <c r="AD147" s="69">
        <v>701662</v>
      </c>
      <c r="AE147" s="69">
        <v>1804158</v>
      </c>
      <c r="AF147" s="69">
        <v>2391461</v>
      </c>
      <c r="AG147" s="69">
        <v>12791778</v>
      </c>
      <c r="AH147" s="69">
        <v>9508151</v>
      </c>
      <c r="AI147" s="69">
        <v>9144759</v>
      </c>
      <c r="AJ147" s="69">
        <v>3836620</v>
      </c>
      <c r="AK147" s="69">
        <v>3355424</v>
      </c>
      <c r="AL147" s="69">
        <v>3717967</v>
      </c>
      <c r="AM147" s="69">
        <v>3708972</v>
      </c>
      <c r="AN147" s="69">
        <v>3279431</v>
      </c>
      <c r="AO147" s="69">
        <v>3501054</v>
      </c>
      <c r="AP147" s="69">
        <v>2831736</v>
      </c>
      <c r="AQ147" s="69">
        <v>2226994</v>
      </c>
      <c r="AR147" s="69">
        <v>3029096</v>
      </c>
      <c r="AS147" s="69">
        <v>3125447</v>
      </c>
      <c r="AT147" s="69">
        <v>4521347</v>
      </c>
      <c r="AU147" s="69">
        <v>3630755</v>
      </c>
      <c r="AV147">
        <v>3480755</v>
      </c>
      <c r="AW147">
        <v>4797231</v>
      </c>
      <c r="AX147">
        <v>9667522</v>
      </c>
    </row>
    <row r="148" spans="1:50" ht="14.5" x14ac:dyDescent="0.35">
      <c r="A148" s="68" t="s">
        <v>291</v>
      </c>
      <c r="B148" s="68" t="str">
        <f>VLOOKUP(Tabelle_Abfrage_von_MS_Access_Database[[#This Row],[LAND]],Texte!$A$4:$C$261,Texte!$A$1+1,FALSE)</f>
        <v>St.Lucia</v>
      </c>
      <c r="C148" s="68" t="s">
        <v>510</v>
      </c>
      <c r="D148" s="68" t="s">
        <v>557</v>
      </c>
      <c r="E148" s="69">
        <v>0</v>
      </c>
      <c r="F148" s="69">
        <v>0</v>
      </c>
      <c r="G148" s="69">
        <v>8000</v>
      </c>
      <c r="H148" s="69">
        <v>15000</v>
      </c>
      <c r="I148" s="69">
        <v>4000</v>
      </c>
      <c r="J148" s="69">
        <v>12000</v>
      </c>
      <c r="K148" s="69">
        <v>16000</v>
      </c>
      <c r="L148" s="69">
        <v>16000</v>
      </c>
      <c r="M148" s="69">
        <v>47000</v>
      </c>
      <c r="N148" s="69">
        <v>18000</v>
      </c>
      <c r="O148" s="69">
        <v>6000</v>
      </c>
      <c r="P148" s="69">
        <v>7000</v>
      </c>
      <c r="Q148" s="69">
        <v>10000</v>
      </c>
      <c r="R148" s="69">
        <v>4000</v>
      </c>
      <c r="S148" s="69">
        <v>53000</v>
      </c>
      <c r="T148" s="69">
        <v>126000</v>
      </c>
      <c r="U148" s="69">
        <v>28000</v>
      </c>
      <c r="V148" s="69">
        <v>23109</v>
      </c>
      <c r="W148" s="69">
        <v>7703</v>
      </c>
      <c r="X148" s="69">
        <v>19694</v>
      </c>
      <c r="Y148" s="69">
        <v>13953</v>
      </c>
      <c r="Z148" s="69">
        <v>61700</v>
      </c>
      <c r="AA148" s="69">
        <v>2842017</v>
      </c>
      <c r="AB148" s="69">
        <v>587115</v>
      </c>
      <c r="AC148" s="69">
        <v>18382</v>
      </c>
      <c r="AD148" s="69">
        <v>30010</v>
      </c>
      <c r="AE148" s="69">
        <v>168397</v>
      </c>
      <c r="AF148" s="69">
        <v>61471</v>
      </c>
      <c r="AG148" s="69">
        <v>439894</v>
      </c>
      <c r="AH148" s="69">
        <v>1248012</v>
      </c>
      <c r="AI148" s="69">
        <v>258374</v>
      </c>
      <c r="AJ148" s="69">
        <v>160374</v>
      </c>
      <c r="AK148" s="69">
        <v>149826</v>
      </c>
      <c r="AL148" s="69">
        <v>1501750</v>
      </c>
      <c r="AM148" s="69">
        <v>554720</v>
      </c>
      <c r="AN148" s="69">
        <v>128930</v>
      </c>
      <c r="AO148" s="69">
        <v>632233</v>
      </c>
      <c r="AP148" s="69">
        <v>992388</v>
      </c>
      <c r="AQ148" s="69">
        <v>239211</v>
      </c>
      <c r="AR148" s="69">
        <v>183531</v>
      </c>
      <c r="AS148" s="69">
        <v>213981</v>
      </c>
      <c r="AT148" s="69">
        <v>927234</v>
      </c>
      <c r="AU148" s="69">
        <v>238731</v>
      </c>
      <c r="AV148">
        <v>345314</v>
      </c>
      <c r="AW148">
        <v>2020936</v>
      </c>
      <c r="AX148">
        <v>4714179</v>
      </c>
    </row>
    <row r="149" spans="1:50" ht="14.5" x14ac:dyDescent="0.35">
      <c r="A149" s="68" t="s">
        <v>565</v>
      </c>
      <c r="B149" s="68" t="str">
        <f>VLOOKUP(Tabelle_Abfrage_von_MS_Access_Database[[#This Row],[LAND]],Texte!$A$4:$C$261,Texte!$A$1+1,FALSE)</f>
        <v>St. Barthélemy</v>
      </c>
      <c r="C149" s="68" t="s">
        <v>558</v>
      </c>
      <c r="D149" s="68" t="s">
        <v>557</v>
      </c>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69">
        <v>0</v>
      </c>
      <c r="AO149" s="69">
        <v>5031</v>
      </c>
      <c r="AP149" s="69">
        <v>28959</v>
      </c>
      <c r="AQ149" s="69">
        <v>156633</v>
      </c>
      <c r="AR149" s="69">
        <v>7851</v>
      </c>
      <c r="AS149" s="69">
        <v>2941</v>
      </c>
      <c r="AT149" s="69">
        <v>27757</v>
      </c>
      <c r="AU149" s="69">
        <v>166688</v>
      </c>
      <c r="AV149">
        <v>43145</v>
      </c>
      <c r="AW149">
        <v>372810</v>
      </c>
      <c r="AX149">
        <v>31547</v>
      </c>
    </row>
    <row r="150" spans="1:50" ht="14.5" x14ac:dyDescent="0.35">
      <c r="A150" s="68" t="s">
        <v>293</v>
      </c>
      <c r="B150" s="68" t="str">
        <f>VLOOKUP(Tabelle_Abfrage_von_MS_Access_Database[[#This Row],[LAND]],Texte!$A$4:$C$261,Texte!$A$1+1,FALSE)</f>
        <v>St.Vincent</v>
      </c>
      <c r="C150" s="68" t="s">
        <v>512</v>
      </c>
      <c r="D150" s="68" t="s">
        <v>557</v>
      </c>
      <c r="E150" s="69">
        <v>0</v>
      </c>
      <c r="F150" s="69">
        <v>0</v>
      </c>
      <c r="G150" s="69">
        <v>0</v>
      </c>
      <c r="H150" s="69">
        <v>0</v>
      </c>
      <c r="I150" s="69">
        <v>2000</v>
      </c>
      <c r="J150" s="69">
        <v>5000</v>
      </c>
      <c r="K150" s="69">
        <v>5000</v>
      </c>
      <c r="L150" s="69">
        <v>12000</v>
      </c>
      <c r="M150" s="69">
        <v>12000</v>
      </c>
      <c r="N150" s="69">
        <v>18000</v>
      </c>
      <c r="O150" s="69">
        <v>11000</v>
      </c>
      <c r="P150" s="69">
        <v>0</v>
      </c>
      <c r="Q150" s="69">
        <v>11000</v>
      </c>
      <c r="R150" s="69">
        <v>9000</v>
      </c>
      <c r="S150" s="69">
        <v>90000</v>
      </c>
      <c r="T150" s="69">
        <v>3000</v>
      </c>
      <c r="U150" s="69">
        <v>200000</v>
      </c>
      <c r="V150" s="69">
        <v>96437</v>
      </c>
      <c r="W150" s="69">
        <v>1381</v>
      </c>
      <c r="X150" s="69">
        <v>6904</v>
      </c>
      <c r="Y150" s="69">
        <v>102832</v>
      </c>
      <c r="Z150" s="69">
        <v>25508</v>
      </c>
      <c r="AA150" s="69">
        <v>25218</v>
      </c>
      <c r="AB150" s="69">
        <v>556026</v>
      </c>
      <c r="AC150" s="69">
        <v>202896</v>
      </c>
      <c r="AD150" s="69">
        <v>59001</v>
      </c>
      <c r="AE150" s="69">
        <v>163212</v>
      </c>
      <c r="AF150" s="69">
        <v>427927</v>
      </c>
      <c r="AG150" s="69">
        <v>71803</v>
      </c>
      <c r="AH150" s="69">
        <v>327424</v>
      </c>
      <c r="AI150" s="69">
        <v>166257</v>
      </c>
      <c r="AJ150" s="69">
        <v>145610</v>
      </c>
      <c r="AK150" s="69">
        <v>53077</v>
      </c>
      <c r="AL150" s="69">
        <v>78910</v>
      </c>
      <c r="AM150" s="69">
        <v>34636</v>
      </c>
      <c r="AN150" s="69">
        <v>40078</v>
      </c>
      <c r="AO150" s="69">
        <v>670377</v>
      </c>
      <c r="AP150" s="69">
        <v>470723</v>
      </c>
      <c r="AQ150" s="69">
        <v>1104587</v>
      </c>
      <c r="AR150" s="69">
        <v>56561</v>
      </c>
      <c r="AS150" s="69">
        <v>116770</v>
      </c>
      <c r="AT150" s="69">
        <v>135409</v>
      </c>
      <c r="AU150" s="69">
        <v>403247</v>
      </c>
      <c r="AV150">
        <v>440027</v>
      </c>
      <c r="AW150">
        <v>368900</v>
      </c>
      <c r="AX150">
        <v>363339</v>
      </c>
    </row>
    <row r="151" spans="1:50" ht="14.5" x14ac:dyDescent="0.35">
      <c r="A151" s="68" t="s">
        <v>295</v>
      </c>
      <c r="B151" s="68" t="str">
        <f>VLOOKUP(Tabelle_Abfrage_von_MS_Access_Database[[#This Row],[LAND]],Texte!$A$4:$C$261,Texte!$A$1+1,FALSE)</f>
        <v>Britische Jungferinseln</v>
      </c>
      <c r="C151" s="68" t="s">
        <v>525</v>
      </c>
      <c r="D151" s="68" t="s">
        <v>557</v>
      </c>
      <c r="E151" s="69">
        <v>0</v>
      </c>
      <c r="F151" s="69">
        <v>0</v>
      </c>
      <c r="G151" s="69">
        <v>0</v>
      </c>
      <c r="H151" s="69">
        <v>0</v>
      </c>
      <c r="I151" s="69">
        <v>0</v>
      </c>
      <c r="J151" s="69">
        <v>0</v>
      </c>
      <c r="K151" s="69">
        <v>0</v>
      </c>
      <c r="L151" s="69">
        <v>0</v>
      </c>
      <c r="M151" s="69">
        <v>0</v>
      </c>
      <c r="N151" s="69">
        <v>0</v>
      </c>
      <c r="O151" s="69">
        <v>0</v>
      </c>
      <c r="P151" s="69">
        <v>0</v>
      </c>
      <c r="Q151" s="69">
        <v>0</v>
      </c>
      <c r="R151" s="69">
        <v>0</v>
      </c>
      <c r="S151" s="69">
        <v>0</v>
      </c>
      <c r="T151" s="69">
        <v>0</v>
      </c>
      <c r="U151" s="69">
        <v>0</v>
      </c>
      <c r="V151" s="69">
        <v>3488</v>
      </c>
      <c r="W151" s="69">
        <v>48474</v>
      </c>
      <c r="X151" s="69">
        <v>268453</v>
      </c>
      <c r="Y151" s="69">
        <v>394104</v>
      </c>
      <c r="Z151" s="69">
        <v>1180787</v>
      </c>
      <c r="AA151" s="69">
        <v>1275697</v>
      </c>
      <c r="AB151" s="69">
        <v>1726168</v>
      </c>
      <c r="AC151" s="69">
        <v>1367985</v>
      </c>
      <c r="AD151" s="69">
        <v>4344434</v>
      </c>
      <c r="AE151" s="69">
        <v>3029828</v>
      </c>
      <c r="AF151" s="69">
        <v>5875320</v>
      </c>
      <c r="AG151" s="69">
        <v>5775901</v>
      </c>
      <c r="AH151" s="69">
        <v>5727741</v>
      </c>
      <c r="AI151" s="69">
        <v>53714609</v>
      </c>
      <c r="AJ151" s="69">
        <v>3412244</v>
      </c>
      <c r="AK151" s="69">
        <v>85071489</v>
      </c>
      <c r="AL151" s="69">
        <v>1287036</v>
      </c>
      <c r="AM151" s="69">
        <v>25624998</v>
      </c>
      <c r="AN151" s="69">
        <v>969812</v>
      </c>
      <c r="AO151" s="69">
        <v>994147</v>
      </c>
      <c r="AP151" s="69">
        <v>1340515</v>
      </c>
      <c r="AQ151" s="69">
        <v>30331796</v>
      </c>
      <c r="AR151" s="69">
        <v>1369388</v>
      </c>
      <c r="AS151" s="69">
        <v>10487651</v>
      </c>
      <c r="AT151" s="69">
        <v>472538</v>
      </c>
      <c r="AU151" s="69">
        <v>177343</v>
      </c>
      <c r="AV151">
        <v>134829</v>
      </c>
      <c r="AW151">
        <v>280145</v>
      </c>
      <c r="AX151">
        <v>28976323</v>
      </c>
    </row>
    <row r="152" spans="1:50" ht="14.5" x14ac:dyDescent="0.35">
      <c r="A152" s="68" t="s">
        <v>297</v>
      </c>
      <c r="B152" s="68" t="str">
        <f>VLOOKUP(Tabelle_Abfrage_von_MS_Access_Database[[#This Row],[LAND]],Texte!$A$4:$C$261,Texte!$A$1+1,FALSE)</f>
        <v>Barbados</v>
      </c>
      <c r="C152" s="68" t="s">
        <v>508</v>
      </c>
      <c r="D152" s="68" t="s">
        <v>557</v>
      </c>
      <c r="E152" s="69">
        <v>54000</v>
      </c>
      <c r="F152" s="69">
        <v>76000</v>
      </c>
      <c r="G152" s="69">
        <v>271000</v>
      </c>
      <c r="H152" s="69">
        <v>287000</v>
      </c>
      <c r="I152" s="69">
        <v>4892000</v>
      </c>
      <c r="J152" s="69">
        <v>4431000</v>
      </c>
      <c r="K152" s="69">
        <v>727000</v>
      </c>
      <c r="L152" s="69">
        <v>1065000</v>
      </c>
      <c r="M152" s="69">
        <v>589000</v>
      </c>
      <c r="N152" s="69">
        <v>326000</v>
      </c>
      <c r="O152" s="69">
        <v>471000</v>
      </c>
      <c r="P152" s="69">
        <v>368000</v>
      </c>
      <c r="Q152" s="69">
        <v>381000</v>
      </c>
      <c r="R152" s="69">
        <v>292000</v>
      </c>
      <c r="S152" s="69">
        <v>123000</v>
      </c>
      <c r="T152" s="69">
        <v>77000</v>
      </c>
      <c r="U152" s="69">
        <v>119000</v>
      </c>
      <c r="V152" s="69">
        <v>680581</v>
      </c>
      <c r="W152" s="69">
        <v>180375</v>
      </c>
      <c r="X152" s="69">
        <v>530001</v>
      </c>
      <c r="Y152" s="69">
        <v>4258700</v>
      </c>
      <c r="Z152" s="69">
        <v>644969</v>
      </c>
      <c r="AA152" s="69">
        <v>1281076</v>
      </c>
      <c r="AB152" s="69">
        <v>1969961</v>
      </c>
      <c r="AC152" s="69">
        <v>865517</v>
      </c>
      <c r="AD152" s="69">
        <v>527281</v>
      </c>
      <c r="AE152" s="69">
        <v>833187</v>
      </c>
      <c r="AF152" s="69">
        <v>1085614</v>
      </c>
      <c r="AG152" s="69">
        <v>1915340</v>
      </c>
      <c r="AH152" s="69">
        <v>1607323</v>
      </c>
      <c r="AI152" s="69">
        <v>2263493</v>
      </c>
      <c r="AJ152" s="69">
        <v>1127066</v>
      </c>
      <c r="AK152" s="69">
        <v>973446</v>
      </c>
      <c r="AL152" s="69">
        <v>975686</v>
      </c>
      <c r="AM152" s="69">
        <v>1370578</v>
      </c>
      <c r="AN152" s="69">
        <v>686511</v>
      </c>
      <c r="AO152" s="69">
        <v>398451</v>
      </c>
      <c r="AP152" s="69">
        <v>666696</v>
      </c>
      <c r="AQ152" s="69">
        <v>8158933</v>
      </c>
      <c r="AR152" s="69">
        <v>497318</v>
      </c>
      <c r="AS152" s="69">
        <v>361465</v>
      </c>
      <c r="AT152" s="69">
        <v>457820</v>
      </c>
      <c r="AU152" s="69">
        <v>907262</v>
      </c>
      <c r="AV152">
        <v>718371</v>
      </c>
      <c r="AW152">
        <v>2358629</v>
      </c>
      <c r="AX152">
        <v>3951358</v>
      </c>
    </row>
    <row r="153" spans="1:50" ht="14.5" x14ac:dyDescent="0.35">
      <c r="A153" s="68" t="s">
        <v>299</v>
      </c>
      <c r="B153" s="68" t="str">
        <f>VLOOKUP(Tabelle_Abfrage_von_MS_Access_Database[[#This Row],[LAND]],Texte!$A$4:$C$261,Texte!$A$1+1,FALSE)</f>
        <v>Montserrat</v>
      </c>
      <c r="C153" s="68" t="s">
        <v>525</v>
      </c>
      <c r="D153" s="68" t="s">
        <v>557</v>
      </c>
      <c r="E153" s="69">
        <v>0</v>
      </c>
      <c r="F153" s="69">
        <v>0</v>
      </c>
      <c r="G153" s="69">
        <v>0</v>
      </c>
      <c r="H153" s="69">
        <v>0</v>
      </c>
      <c r="I153" s="69">
        <v>0</v>
      </c>
      <c r="J153" s="69">
        <v>0</v>
      </c>
      <c r="K153" s="69">
        <v>0</v>
      </c>
      <c r="L153" s="69">
        <v>0</v>
      </c>
      <c r="M153" s="69">
        <v>0</v>
      </c>
      <c r="N153" s="69">
        <v>0</v>
      </c>
      <c r="O153" s="69">
        <v>0</v>
      </c>
      <c r="P153" s="69">
        <v>0</v>
      </c>
      <c r="Q153" s="69">
        <v>0</v>
      </c>
      <c r="R153" s="69">
        <v>0</v>
      </c>
      <c r="S153" s="69">
        <v>0</v>
      </c>
      <c r="T153" s="69">
        <v>0</v>
      </c>
      <c r="U153" s="69">
        <v>0</v>
      </c>
      <c r="V153" s="69">
        <v>11050267</v>
      </c>
      <c r="W153" s="69">
        <v>0</v>
      </c>
      <c r="X153" s="69">
        <v>73</v>
      </c>
      <c r="Y153" s="69">
        <v>302464</v>
      </c>
      <c r="Z153" s="69">
        <v>197307</v>
      </c>
      <c r="AA153" s="69">
        <v>17369</v>
      </c>
      <c r="AB153" s="69">
        <v>88280</v>
      </c>
      <c r="AC153" s="69">
        <v>57956</v>
      </c>
      <c r="AD153" s="69">
        <v>28206</v>
      </c>
      <c r="AE153" s="69">
        <v>32947</v>
      </c>
      <c r="AF153" s="69">
        <v>57012</v>
      </c>
      <c r="AG153" s="69">
        <v>49774</v>
      </c>
      <c r="AH153" s="69">
        <v>46173</v>
      </c>
      <c r="AI153" s="69">
        <v>182035</v>
      </c>
      <c r="AJ153" s="69">
        <v>31309</v>
      </c>
      <c r="AK153" s="69">
        <v>129595</v>
      </c>
      <c r="AL153" s="69">
        <v>15962</v>
      </c>
      <c r="AM153" s="69">
        <v>4825</v>
      </c>
      <c r="AN153" s="69">
        <v>90410</v>
      </c>
      <c r="AO153" s="69">
        <v>0</v>
      </c>
      <c r="AP153" s="69">
        <v>3739</v>
      </c>
      <c r="AQ153" s="69">
        <v>82030</v>
      </c>
      <c r="AR153" s="69">
        <v>9213</v>
      </c>
      <c r="AS153" s="69">
        <v>58637</v>
      </c>
      <c r="AT153" s="69">
        <v>8139</v>
      </c>
      <c r="AU153" s="69">
        <v>123378</v>
      </c>
      <c r="AV153">
        <v>55198</v>
      </c>
      <c r="AW153">
        <v>255824</v>
      </c>
      <c r="AX153">
        <v>43931</v>
      </c>
    </row>
    <row r="154" spans="1:50" ht="14.5" x14ac:dyDescent="0.35">
      <c r="A154" s="68" t="s">
        <v>301</v>
      </c>
      <c r="B154" s="68" t="str">
        <f>VLOOKUP(Tabelle_Abfrage_von_MS_Access_Database[[#This Row],[LAND]],Texte!$A$4:$C$261,Texte!$A$1+1,FALSE)</f>
        <v>Trinidad und Tobago</v>
      </c>
      <c r="C154" s="68" t="s">
        <v>508</v>
      </c>
      <c r="D154" s="68" t="s">
        <v>557</v>
      </c>
      <c r="E154" s="69">
        <v>397000</v>
      </c>
      <c r="F154" s="69">
        <v>2863000</v>
      </c>
      <c r="G154" s="69">
        <v>10235000</v>
      </c>
      <c r="H154" s="69">
        <v>3101000</v>
      </c>
      <c r="I154" s="69">
        <v>2903000</v>
      </c>
      <c r="J154" s="69">
        <v>2666000</v>
      </c>
      <c r="K154" s="69">
        <v>2799000</v>
      </c>
      <c r="L154" s="69">
        <v>2460000</v>
      </c>
      <c r="M154" s="69">
        <v>2516000</v>
      </c>
      <c r="N154" s="69">
        <v>3534000</v>
      </c>
      <c r="O154" s="69">
        <v>2155000</v>
      </c>
      <c r="P154" s="69">
        <v>1131000</v>
      </c>
      <c r="Q154" s="69">
        <v>802000</v>
      </c>
      <c r="R154" s="69">
        <v>1177000</v>
      </c>
      <c r="S154" s="69">
        <v>2480000</v>
      </c>
      <c r="T154" s="69">
        <v>1192000</v>
      </c>
      <c r="U154" s="69">
        <v>1920000</v>
      </c>
      <c r="V154" s="69">
        <v>2407143</v>
      </c>
      <c r="W154" s="69">
        <v>4496339</v>
      </c>
      <c r="X154" s="69">
        <v>3135176</v>
      </c>
      <c r="Y154" s="69">
        <v>3180383</v>
      </c>
      <c r="Z154" s="69">
        <v>4442638</v>
      </c>
      <c r="AA154" s="69">
        <v>6526242</v>
      </c>
      <c r="AB154" s="69">
        <v>8656910</v>
      </c>
      <c r="AC154" s="69">
        <v>20838376</v>
      </c>
      <c r="AD154" s="69">
        <v>7735420</v>
      </c>
      <c r="AE154" s="69">
        <v>4820889</v>
      </c>
      <c r="AF154" s="69">
        <v>8588325</v>
      </c>
      <c r="AG154" s="69">
        <v>6863358</v>
      </c>
      <c r="AH154" s="69">
        <v>11159091</v>
      </c>
      <c r="AI154" s="69">
        <v>16683551</v>
      </c>
      <c r="AJ154" s="69">
        <v>6285346</v>
      </c>
      <c r="AK154" s="69">
        <v>10683913</v>
      </c>
      <c r="AL154" s="69">
        <v>10617095</v>
      </c>
      <c r="AM154" s="69">
        <v>9819418</v>
      </c>
      <c r="AN154" s="69">
        <v>13678281</v>
      </c>
      <c r="AO154" s="69">
        <v>11504626</v>
      </c>
      <c r="AP154" s="69">
        <v>8616099</v>
      </c>
      <c r="AQ154" s="69">
        <v>4874556</v>
      </c>
      <c r="AR154" s="69">
        <v>6330303</v>
      </c>
      <c r="AS154" s="69">
        <v>7839631</v>
      </c>
      <c r="AT154" s="69">
        <v>25147422</v>
      </c>
      <c r="AU154" s="69">
        <v>5258883</v>
      </c>
      <c r="AV154">
        <v>2928781</v>
      </c>
      <c r="AW154">
        <v>4848029</v>
      </c>
      <c r="AX154">
        <v>20619066</v>
      </c>
    </row>
    <row r="155" spans="1:50" ht="14.5" x14ac:dyDescent="0.35">
      <c r="A155" s="68" t="s">
        <v>303</v>
      </c>
      <c r="B155" s="68" t="str">
        <f>VLOOKUP(Tabelle_Abfrage_von_MS_Access_Database[[#This Row],[LAND]],Texte!$A$4:$C$261,Texte!$A$1+1,FALSE)</f>
        <v>Grenada</v>
      </c>
      <c r="C155" s="68" t="s">
        <v>512</v>
      </c>
      <c r="D155" s="68" t="s">
        <v>557</v>
      </c>
      <c r="E155" s="69">
        <v>0</v>
      </c>
      <c r="F155" s="69">
        <v>0</v>
      </c>
      <c r="G155" s="69">
        <v>0</v>
      </c>
      <c r="H155" s="69">
        <v>0</v>
      </c>
      <c r="I155" s="69">
        <v>1000</v>
      </c>
      <c r="J155" s="69">
        <v>0</v>
      </c>
      <c r="K155" s="69">
        <v>2000</v>
      </c>
      <c r="L155" s="69">
        <v>29000</v>
      </c>
      <c r="M155" s="69">
        <v>6000</v>
      </c>
      <c r="N155" s="69">
        <v>4000</v>
      </c>
      <c r="O155" s="69">
        <v>8000</v>
      </c>
      <c r="P155" s="69">
        <v>4000</v>
      </c>
      <c r="Q155" s="69">
        <v>2000</v>
      </c>
      <c r="R155" s="69">
        <v>30000</v>
      </c>
      <c r="S155" s="69">
        <v>3000</v>
      </c>
      <c r="T155" s="69">
        <v>224000</v>
      </c>
      <c r="U155" s="69">
        <v>11000</v>
      </c>
      <c r="V155" s="69">
        <v>53341</v>
      </c>
      <c r="W155" s="69">
        <v>6831</v>
      </c>
      <c r="X155" s="69">
        <v>0</v>
      </c>
      <c r="Y155" s="69">
        <v>3706</v>
      </c>
      <c r="Z155" s="69">
        <v>44548</v>
      </c>
      <c r="AA155" s="69">
        <v>422663</v>
      </c>
      <c r="AB155" s="69">
        <v>42716</v>
      </c>
      <c r="AC155" s="69">
        <v>24273</v>
      </c>
      <c r="AD155" s="69">
        <v>34652</v>
      </c>
      <c r="AE155" s="69">
        <v>63411</v>
      </c>
      <c r="AF155" s="69">
        <v>24478</v>
      </c>
      <c r="AG155" s="69">
        <v>170759</v>
      </c>
      <c r="AH155" s="69">
        <v>259832</v>
      </c>
      <c r="AI155" s="69">
        <v>218682</v>
      </c>
      <c r="AJ155" s="69">
        <v>145274</v>
      </c>
      <c r="AK155" s="69">
        <v>60880</v>
      </c>
      <c r="AL155" s="69">
        <v>52655</v>
      </c>
      <c r="AM155" s="69">
        <v>25070</v>
      </c>
      <c r="AN155" s="69">
        <v>68811</v>
      </c>
      <c r="AO155" s="69">
        <v>51203</v>
      </c>
      <c r="AP155" s="69">
        <v>38819</v>
      </c>
      <c r="AQ155" s="69">
        <v>93630</v>
      </c>
      <c r="AR155" s="69">
        <v>47478</v>
      </c>
      <c r="AS155" s="69">
        <v>61240</v>
      </c>
      <c r="AT155" s="69">
        <v>71588</v>
      </c>
      <c r="AU155" s="69">
        <v>178887</v>
      </c>
      <c r="AV155">
        <v>167212</v>
      </c>
      <c r="AW155">
        <v>174941</v>
      </c>
      <c r="AX155">
        <v>442492</v>
      </c>
    </row>
    <row r="156" spans="1:50" ht="14.5" x14ac:dyDescent="0.35">
      <c r="A156" s="68" t="s">
        <v>305</v>
      </c>
      <c r="B156" s="68" t="str">
        <f>VLOOKUP(Tabelle_Abfrage_von_MS_Access_Database[[#This Row],[LAND]],Texte!$A$4:$C$261,Texte!$A$1+1,FALSE)</f>
        <v>Aruba</v>
      </c>
      <c r="C156" s="68" t="s">
        <v>525</v>
      </c>
      <c r="D156" s="68" t="s">
        <v>557</v>
      </c>
      <c r="E156" s="69">
        <v>0</v>
      </c>
      <c r="F156" s="69">
        <v>0</v>
      </c>
      <c r="G156" s="69">
        <v>0</v>
      </c>
      <c r="H156" s="69">
        <v>0</v>
      </c>
      <c r="I156" s="69">
        <v>0</v>
      </c>
      <c r="J156" s="69">
        <v>0</v>
      </c>
      <c r="K156" s="69">
        <v>0</v>
      </c>
      <c r="L156" s="69">
        <v>0</v>
      </c>
      <c r="M156" s="69">
        <v>0</v>
      </c>
      <c r="N156" s="69">
        <v>0</v>
      </c>
      <c r="O156" s="69">
        <v>0</v>
      </c>
      <c r="P156" s="69">
        <v>0</v>
      </c>
      <c r="Q156" s="69">
        <v>0</v>
      </c>
      <c r="R156" s="69">
        <v>0</v>
      </c>
      <c r="S156" s="69">
        <v>0</v>
      </c>
      <c r="T156" s="69">
        <v>0</v>
      </c>
      <c r="U156" s="69">
        <v>0</v>
      </c>
      <c r="V156" s="69">
        <v>402680</v>
      </c>
      <c r="W156" s="69">
        <v>209804</v>
      </c>
      <c r="X156" s="69">
        <v>141641</v>
      </c>
      <c r="Y156" s="69">
        <v>218962</v>
      </c>
      <c r="Z156" s="69">
        <v>44622</v>
      </c>
      <c r="AA156" s="69">
        <v>215109</v>
      </c>
      <c r="AB156" s="69">
        <v>207512</v>
      </c>
      <c r="AC156" s="69">
        <v>272273</v>
      </c>
      <c r="AD156" s="69">
        <v>279790</v>
      </c>
      <c r="AE156" s="69">
        <v>512539</v>
      </c>
      <c r="AF156" s="69">
        <v>981069</v>
      </c>
      <c r="AG156" s="69">
        <v>379378</v>
      </c>
      <c r="AH156" s="69">
        <v>761748</v>
      </c>
      <c r="AI156" s="69">
        <v>964462</v>
      </c>
      <c r="AJ156" s="69">
        <v>386345</v>
      </c>
      <c r="AK156" s="69">
        <v>372751</v>
      </c>
      <c r="AL156" s="69">
        <v>607798</v>
      </c>
      <c r="AM156" s="69">
        <v>732389</v>
      </c>
      <c r="AN156" s="69">
        <v>601594</v>
      </c>
      <c r="AO156" s="69">
        <v>429869</v>
      </c>
      <c r="AP156" s="69">
        <v>650689</v>
      </c>
      <c r="AQ156" s="69">
        <v>516028</v>
      </c>
      <c r="AR156" s="69">
        <v>556085</v>
      </c>
      <c r="AS156" s="69">
        <v>706330</v>
      </c>
      <c r="AT156" s="69">
        <v>734865</v>
      </c>
      <c r="AU156" s="69">
        <v>360347</v>
      </c>
      <c r="AV156">
        <v>575440</v>
      </c>
      <c r="AW156">
        <v>736121</v>
      </c>
      <c r="AX156">
        <v>1642616</v>
      </c>
    </row>
    <row r="157" spans="1:50" ht="14.5" x14ac:dyDescent="0.35">
      <c r="A157" s="68" t="s">
        <v>567</v>
      </c>
      <c r="B157" s="68" t="str">
        <f>VLOOKUP(Tabelle_Abfrage_von_MS_Access_Database[[#This Row],[LAND]],Texte!$A$4:$C$261,Texte!$A$1+1,FALSE)</f>
        <v>Curacao</v>
      </c>
      <c r="C157" s="68" t="s">
        <v>558</v>
      </c>
      <c r="D157" s="68" t="s">
        <v>557</v>
      </c>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69">
        <v>875417</v>
      </c>
      <c r="AO157" s="69">
        <v>1814692</v>
      </c>
      <c r="AP157" s="69">
        <v>4381251</v>
      </c>
      <c r="AQ157" s="69">
        <v>1353796</v>
      </c>
      <c r="AR157" s="69">
        <v>981288</v>
      </c>
      <c r="AS157" s="69">
        <v>1011663</v>
      </c>
      <c r="AT157" s="69">
        <v>999310</v>
      </c>
      <c r="AU157" s="69">
        <v>856975</v>
      </c>
      <c r="AV157">
        <v>905083</v>
      </c>
      <c r="AW157">
        <v>1001834</v>
      </c>
      <c r="AX157">
        <v>513947</v>
      </c>
    </row>
    <row r="158" spans="1:50" ht="14.5" x14ac:dyDescent="0.35">
      <c r="A158" s="68" t="s">
        <v>569</v>
      </c>
      <c r="B158" s="68" t="str">
        <f>VLOOKUP(Tabelle_Abfrage_von_MS_Access_Database[[#This Row],[LAND]],Texte!$A$4:$C$261,Texte!$A$1+1,FALSE)</f>
        <v>Bonaire, St.Eust.u.Saba</v>
      </c>
      <c r="C158" s="68" t="s">
        <v>558</v>
      </c>
      <c r="D158" s="68" t="s">
        <v>557</v>
      </c>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69">
        <v>9704</v>
      </c>
      <c r="AO158" s="69">
        <v>48207</v>
      </c>
      <c r="AP158" s="69">
        <v>120795</v>
      </c>
      <c r="AQ158" s="69">
        <v>65322</v>
      </c>
      <c r="AR158" s="69">
        <v>765982</v>
      </c>
      <c r="AS158" s="69">
        <v>133791</v>
      </c>
      <c r="AT158" s="69">
        <v>83368</v>
      </c>
      <c r="AU158" s="69">
        <v>30622</v>
      </c>
      <c r="AV158">
        <v>66271</v>
      </c>
      <c r="AW158">
        <v>479743</v>
      </c>
      <c r="AX158">
        <v>270941</v>
      </c>
    </row>
    <row r="159" spans="1:50" ht="14.5" x14ac:dyDescent="0.35">
      <c r="A159" s="68" t="s">
        <v>307</v>
      </c>
      <c r="B159" s="68" t="str">
        <f>VLOOKUP(Tabelle_Abfrage_von_MS_Access_Database[[#This Row],[LAND]],Texte!$A$4:$C$261,Texte!$A$1+1,FALSE)</f>
        <v>Niederländische Antillen</v>
      </c>
      <c r="C159" s="68" t="s">
        <v>508</v>
      </c>
      <c r="D159" s="68" t="s">
        <v>542</v>
      </c>
      <c r="E159" s="69">
        <v>716000</v>
      </c>
      <c r="F159" s="69">
        <v>651000</v>
      </c>
      <c r="G159" s="69">
        <v>696000</v>
      </c>
      <c r="H159" s="69">
        <v>1053000</v>
      </c>
      <c r="I159" s="69">
        <v>3137000</v>
      </c>
      <c r="J159" s="69">
        <v>927000</v>
      </c>
      <c r="K159" s="69">
        <v>1338000</v>
      </c>
      <c r="L159" s="69">
        <v>1283000</v>
      </c>
      <c r="M159" s="69">
        <v>1875000</v>
      </c>
      <c r="N159" s="69">
        <v>2072000</v>
      </c>
      <c r="O159" s="69">
        <v>1786000</v>
      </c>
      <c r="P159" s="69">
        <v>2901000</v>
      </c>
      <c r="Q159" s="69">
        <v>3234000</v>
      </c>
      <c r="R159" s="69">
        <v>2703000</v>
      </c>
      <c r="S159" s="69">
        <v>5485000</v>
      </c>
      <c r="T159" s="69">
        <v>4621000</v>
      </c>
      <c r="U159" s="69">
        <v>3759000</v>
      </c>
      <c r="V159" s="69">
        <v>5289493</v>
      </c>
      <c r="W159" s="69">
        <v>3921280</v>
      </c>
      <c r="X159" s="69">
        <v>9593325</v>
      </c>
      <c r="Y159" s="69">
        <v>6673249</v>
      </c>
      <c r="Z159" s="69">
        <v>4119390</v>
      </c>
      <c r="AA159" s="69">
        <v>5655253</v>
      </c>
      <c r="AB159" s="69">
        <v>5611536</v>
      </c>
      <c r="AC159" s="69">
        <v>6169491</v>
      </c>
      <c r="AD159" s="69">
        <v>5316092</v>
      </c>
      <c r="AE159" s="69">
        <v>4336488</v>
      </c>
      <c r="AF159" s="69">
        <v>5190133</v>
      </c>
      <c r="AG159" s="69">
        <v>4846783</v>
      </c>
      <c r="AH159" s="69">
        <v>5667539</v>
      </c>
      <c r="AI159" s="69">
        <v>8278815</v>
      </c>
      <c r="AJ159" s="69">
        <v>2986856</v>
      </c>
      <c r="AK159" s="69">
        <v>3817742</v>
      </c>
      <c r="AL159" s="69">
        <v>3885611</v>
      </c>
      <c r="AM159" s="69">
        <v>2502651</v>
      </c>
      <c r="AN159" s="70"/>
      <c r="AO159" s="70"/>
      <c r="AP159" s="70"/>
      <c r="AQ159" s="70"/>
      <c r="AR159" s="70"/>
      <c r="AS159" s="70"/>
      <c r="AT159" s="70"/>
      <c r="AU159" s="70"/>
    </row>
    <row r="160" spans="1:50" ht="14.5" x14ac:dyDescent="0.35">
      <c r="A160" s="68" t="s">
        <v>571</v>
      </c>
      <c r="B160" s="68" t="str">
        <f>VLOOKUP(Tabelle_Abfrage_von_MS_Access_Database[[#This Row],[LAND]],Texte!$A$4:$C$261,Texte!$A$1+1,FALSE)</f>
        <v>St. Martin (niederl.Teil)</v>
      </c>
      <c r="C160" s="68" t="s">
        <v>558</v>
      </c>
      <c r="D160" s="68" t="s">
        <v>557</v>
      </c>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69">
        <v>847895</v>
      </c>
      <c r="AO160" s="69">
        <v>988087</v>
      </c>
      <c r="AP160" s="69">
        <v>4817174</v>
      </c>
      <c r="AQ160" s="69">
        <v>936449</v>
      </c>
      <c r="AR160" s="69">
        <v>777571</v>
      </c>
      <c r="AS160" s="69">
        <v>3404974</v>
      </c>
      <c r="AT160" s="69">
        <v>709896</v>
      </c>
      <c r="AU160" s="69">
        <v>333220</v>
      </c>
      <c r="AV160">
        <v>2199191</v>
      </c>
      <c r="AW160">
        <v>882636</v>
      </c>
      <c r="AX160">
        <v>3168938</v>
      </c>
    </row>
    <row r="161" spans="1:50" ht="14.5" x14ac:dyDescent="0.35">
      <c r="A161" s="68" t="s">
        <v>309</v>
      </c>
      <c r="B161" s="68" t="str">
        <f>VLOOKUP(Tabelle_Abfrage_von_MS_Access_Database[[#This Row],[LAND]],Texte!$A$4:$C$261,Texte!$A$1+1,FALSE)</f>
        <v>Kolumbien</v>
      </c>
      <c r="C161" s="68" t="s">
        <v>508</v>
      </c>
      <c r="D161" s="68" t="s">
        <v>557</v>
      </c>
      <c r="E161" s="69">
        <v>6504000</v>
      </c>
      <c r="F161" s="69">
        <v>7623000</v>
      </c>
      <c r="G161" s="69">
        <v>10320000</v>
      </c>
      <c r="H161" s="69">
        <v>10820000</v>
      </c>
      <c r="I161" s="69">
        <v>14185000</v>
      </c>
      <c r="J161" s="69">
        <v>14365000</v>
      </c>
      <c r="K161" s="69">
        <v>11249000</v>
      </c>
      <c r="L161" s="69">
        <v>15782000</v>
      </c>
      <c r="M161" s="69">
        <v>15976000</v>
      </c>
      <c r="N161" s="69">
        <v>12495000</v>
      </c>
      <c r="O161" s="69">
        <v>11075000</v>
      </c>
      <c r="P161" s="69">
        <v>15417000</v>
      </c>
      <c r="Q161" s="69">
        <v>15591000</v>
      </c>
      <c r="R161" s="69">
        <v>11854000</v>
      </c>
      <c r="S161" s="69">
        <v>19916000</v>
      </c>
      <c r="T161" s="69">
        <v>19560000</v>
      </c>
      <c r="U161" s="69">
        <v>19295000</v>
      </c>
      <c r="V161" s="69">
        <v>19348633</v>
      </c>
      <c r="W161" s="69">
        <v>19729361</v>
      </c>
      <c r="X161" s="69">
        <v>20803978</v>
      </c>
      <c r="Y161" s="69">
        <v>24676854</v>
      </c>
      <c r="Z161" s="69">
        <v>15612814</v>
      </c>
      <c r="AA161" s="69">
        <v>22109038</v>
      </c>
      <c r="AB161" s="69">
        <v>24790657</v>
      </c>
      <c r="AC161" s="69">
        <v>30009644</v>
      </c>
      <c r="AD161" s="69">
        <v>26891547</v>
      </c>
      <c r="AE161" s="69">
        <v>34353981</v>
      </c>
      <c r="AF161" s="69">
        <v>38790941</v>
      </c>
      <c r="AG161" s="69">
        <v>68241510</v>
      </c>
      <c r="AH161" s="69">
        <v>78171287</v>
      </c>
      <c r="AI161" s="69">
        <v>81822082</v>
      </c>
      <c r="AJ161" s="69">
        <v>60370721</v>
      </c>
      <c r="AK161" s="69">
        <v>83772761</v>
      </c>
      <c r="AL161" s="69">
        <v>108214150</v>
      </c>
      <c r="AM161" s="69">
        <v>128909142</v>
      </c>
      <c r="AN161" s="69">
        <v>131440692</v>
      </c>
      <c r="AO161" s="69">
        <v>121677064</v>
      </c>
      <c r="AP161" s="69">
        <v>120487016</v>
      </c>
      <c r="AQ161" s="69">
        <v>98506804</v>
      </c>
      <c r="AR161" s="69">
        <v>130501793</v>
      </c>
      <c r="AS161" s="69">
        <v>105262924</v>
      </c>
      <c r="AT161" s="69">
        <v>129387973</v>
      </c>
      <c r="AU161" s="69">
        <v>89634656</v>
      </c>
      <c r="AV161">
        <v>107073136</v>
      </c>
      <c r="AW161">
        <v>132344804</v>
      </c>
      <c r="AX161">
        <v>126953844</v>
      </c>
    </row>
    <row r="162" spans="1:50" ht="14.5" x14ac:dyDescent="0.35">
      <c r="A162" s="68" t="s">
        <v>311</v>
      </c>
      <c r="B162" s="68" t="str">
        <f>VLOOKUP(Tabelle_Abfrage_von_MS_Access_Database[[#This Row],[LAND]],Texte!$A$4:$C$261,Texte!$A$1+1,FALSE)</f>
        <v>Venezuela</v>
      </c>
      <c r="C162" s="68" t="s">
        <v>508</v>
      </c>
      <c r="D162" s="68" t="s">
        <v>557</v>
      </c>
      <c r="E162" s="69">
        <v>21474000</v>
      </c>
      <c r="F162" s="69">
        <v>18697000</v>
      </c>
      <c r="G162" s="69">
        <v>27065000</v>
      </c>
      <c r="H162" s="69">
        <v>38371000</v>
      </c>
      <c r="I162" s="69">
        <v>46109000</v>
      </c>
      <c r="J162" s="69">
        <v>23509000</v>
      </c>
      <c r="K162" s="69">
        <v>44866000</v>
      </c>
      <c r="L162" s="69">
        <v>56025000</v>
      </c>
      <c r="M162" s="69">
        <v>42812000</v>
      </c>
      <c r="N162" s="69">
        <v>47087000</v>
      </c>
      <c r="O162" s="69">
        <v>50749000</v>
      </c>
      <c r="P162" s="69">
        <v>26007000</v>
      </c>
      <c r="Q162" s="69">
        <v>34163000</v>
      </c>
      <c r="R162" s="69">
        <v>41207000</v>
      </c>
      <c r="S162" s="69">
        <v>33049000</v>
      </c>
      <c r="T162" s="69">
        <v>38695000</v>
      </c>
      <c r="U162" s="69">
        <v>19087000</v>
      </c>
      <c r="V162" s="69">
        <v>23850282</v>
      </c>
      <c r="W162" s="69">
        <v>40138075</v>
      </c>
      <c r="X162" s="69">
        <v>57980048</v>
      </c>
      <c r="Y162" s="69">
        <v>47842264</v>
      </c>
      <c r="Z162" s="69">
        <v>37866473</v>
      </c>
      <c r="AA162" s="69">
        <v>49532145</v>
      </c>
      <c r="AB162" s="69">
        <v>57587488</v>
      </c>
      <c r="AC162" s="69">
        <v>43627062</v>
      </c>
      <c r="AD162" s="69">
        <v>47884816</v>
      </c>
      <c r="AE162" s="69">
        <v>47486492</v>
      </c>
      <c r="AF162" s="69">
        <v>54832190</v>
      </c>
      <c r="AG162" s="69">
        <v>74338744</v>
      </c>
      <c r="AH162" s="69">
        <v>83074366</v>
      </c>
      <c r="AI162" s="69">
        <v>98002376</v>
      </c>
      <c r="AJ162" s="69">
        <v>120361403</v>
      </c>
      <c r="AK162" s="69">
        <v>94064670</v>
      </c>
      <c r="AL162" s="69">
        <v>62130549</v>
      </c>
      <c r="AM162" s="69">
        <v>142727456</v>
      </c>
      <c r="AN162" s="69">
        <v>86781749</v>
      </c>
      <c r="AO162" s="69">
        <v>150634535</v>
      </c>
      <c r="AP162" s="69">
        <v>138588097</v>
      </c>
      <c r="AQ162" s="69">
        <v>46840564</v>
      </c>
      <c r="AR162" s="69">
        <v>10968244</v>
      </c>
      <c r="AS162" s="69">
        <v>15787221</v>
      </c>
      <c r="AT162" s="69">
        <v>7864781</v>
      </c>
      <c r="AU162" s="69">
        <v>2893382</v>
      </c>
      <c r="AV162">
        <v>8090596</v>
      </c>
      <c r="AW162">
        <v>6850045</v>
      </c>
      <c r="AX162">
        <v>5232369</v>
      </c>
    </row>
    <row r="163" spans="1:50" ht="14.5" x14ac:dyDescent="0.35">
      <c r="A163" s="68" t="s">
        <v>313</v>
      </c>
      <c r="B163" s="68" t="str">
        <f>VLOOKUP(Tabelle_Abfrage_von_MS_Access_Database[[#This Row],[LAND]],Texte!$A$4:$C$261,Texte!$A$1+1,FALSE)</f>
        <v>Guyana</v>
      </c>
      <c r="C163" s="68" t="s">
        <v>508</v>
      </c>
      <c r="D163" s="68" t="s">
        <v>557</v>
      </c>
      <c r="E163" s="69">
        <v>16000</v>
      </c>
      <c r="F163" s="69">
        <v>1290000</v>
      </c>
      <c r="G163" s="69">
        <v>390000</v>
      </c>
      <c r="H163" s="69">
        <v>170000</v>
      </c>
      <c r="I163" s="69">
        <v>81000</v>
      </c>
      <c r="J163" s="69">
        <v>132000</v>
      </c>
      <c r="K163" s="69">
        <v>224000</v>
      </c>
      <c r="L163" s="69">
        <v>462000</v>
      </c>
      <c r="M163" s="69">
        <v>312000</v>
      </c>
      <c r="N163" s="69">
        <v>263000</v>
      </c>
      <c r="O163" s="69">
        <v>279000</v>
      </c>
      <c r="P163" s="69">
        <v>256000</v>
      </c>
      <c r="Q163" s="69">
        <v>363000</v>
      </c>
      <c r="R163" s="69">
        <v>1273000</v>
      </c>
      <c r="S163" s="69">
        <v>2129000</v>
      </c>
      <c r="T163" s="69">
        <v>5412000</v>
      </c>
      <c r="U163" s="69">
        <v>65000</v>
      </c>
      <c r="V163" s="69">
        <v>201447</v>
      </c>
      <c r="W163" s="69">
        <v>68022</v>
      </c>
      <c r="X163" s="69">
        <v>51451</v>
      </c>
      <c r="Y163" s="69">
        <v>94112</v>
      </c>
      <c r="Z163" s="69">
        <v>127107</v>
      </c>
      <c r="AA163" s="69">
        <v>61700</v>
      </c>
      <c r="AB163" s="69">
        <v>388060</v>
      </c>
      <c r="AC163" s="69">
        <v>54329</v>
      </c>
      <c r="AD163" s="69">
        <v>76966</v>
      </c>
      <c r="AE163" s="69">
        <v>111018</v>
      </c>
      <c r="AF163" s="69">
        <v>177750</v>
      </c>
      <c r="AG163" s="69">
        <v>61096</v>
      </c>
      <c r="AH163" s="69">
        <v>508957</v>
      </c>
      <c r="AI163" s="69">
        <v>640460</v>
      </c>
      <c r="AJ163" s="69">
        <v>232630</v>
      </c>
      <c r="AK163" s="69">
        <v>238163</v>
      </c>
      <c r="AL163" s="69">
        <v>240390</v>
      </c>
      <c r="AM163" s="69">
        <v>467934</v>
      </c>
      <c r="AN163" s="69">
        <v>331005</v>
      </c>
      <c r="AO163" s="69">
        <v>660443</v>
      </c>
      <c r="AP163" s="69">
        <v>746028</v>
      </c>
      <c r="AQ163" s="69">
        <v>642457</v>
      </c>
      <c r="AR163" s="69">
        <v>197757</v>
      </c>
      <c r="AS163" s="69">
        <v>424224</v>
      </c>
      <c r="AT163" s="69">
        <v>784935</v>
      </c>
      <c r="AU163" s="69">
        <v>454620</v>
      </c>
      <c r="AV163">
        <v>250851</v>
      </c>
      <c r="AW163">
        <v>3415243</v>
      </c>
      <c r="AX163">
        <v>4171347</v>
      </c>
    </row>
    <row r="164" spans="1:50" ht="14.5" x14ac:dyDescent="0.35">
      <c r="A164" s="68" t="s">
        <v>315</v>
      </c>
      <c r="B164" s="68" t="str">
        <f>VLOOKUP(Tabelle_Abfrage_von_MS_Access_Database[[#This Row],[LAND]],Texte!$A$4:$C$261,Texte!$A$1+1,FALSE)</f>
        <v>Suriname</v>
      </c>
      <c r="C164" s="68" t="s">
        <v>508</v>
      </c>
      <c r="D164" s="68" t="s">
        <v>557</v>
      </c>
      <c r="E164" s="69">
        <v>426000</v>
      </c>
      <c r="F164" s="69">
        <v>628000</v>
      </c>
      <c r="G164" s="69">
        <v>84000</v>
      </c>
      <c r="H164" s="69">
        <v>221000</v>
      </c>
      <c r="I164" s="69">
        <v>296000</v>
      </c>
      <c r="J164" s="69">
        <v>284000</v>
      </c>
      <c r="K164" s="69">
        <v>447000</v>
      </c>
      <c r="L164" s="69">
        <v>363000</v>
      </c>
      <c r="M164" s="69">
        <v>73000</v>
      </c>
      <c r="N164" s="69">
        <v>130000</v>
      </c>
      <c r="O164" s="69">
        <v>209000</v>
      </c>
      <c r="P164" s="69">
        <v>222000</v>
      </c>
      <c r="Q164" s="69">
        <v>284000</v>
      </c>
      <c r="R164" s="69">
        <v>131000</v>
      </c>
      <c r="S164" s="69">
        <v>237000</v>
      </c>
      <c r="T164" s="69">
        <v>487000</v>
      </c>
      <c r="U164" s="69">
        <v>337000</v>
      </c>
      <c r="V164" s="69">
        <v>574188</v>
      </c>
      <c r="W164" s="69">
        <v>380224</v>
      </c>
      <c r="X164" s="69">
        <v>447011</v>
      </c>
      <c r="Y164" s="69">
        <v>185825</v>
      </c>
      <c r="Z164" s="69">
        <v>251304</v>
      </c>
      <c r="AA164" s="69">
        <v>105160</v>
      </c>
      <c r="AB164" s="69">
        <v>263211</v>
      </c>
      <c r="AC164" s="69">
        <v>349926</v>
      </c>
      <c r="AD164" s="69">
        <v>501695</v>
      </c>
      <c r="AE164" s="69">
        <v>850985</v>
      </c>
      <c r="AF164" s="69">
        <v>1208791</v>
      </c>
      <c r="AG164" s="69">
        <v>786293</v>
      </c>
      <c r="AH164" s="69">
        <v>4464421</v>
      </c>
      <c r="AI164" s="69">
        <v>1658062</v>
      </c>
      <c r="AJ164" s="69">
        <v>1574802</v>
      </c>
      <c r="AK164" s="69">
        <v>1309584</v>
      </c>
      <c r="AL164" s="69">
        <v>2270891</v>
      </c>
      <c r="AM164" s="69">
        <v>1172173</v>
      </c>
      <c r="AN164" s="69">
        <v>5231604</v>
      </c>
      <c r="AO164" s="69">
        <v>1291368</v>
      </c>
      <c r="AP164" s="69">
        <v>3424500</v>
      </c>
      <c r="AQ164" s="69">
        <v>1061213</v>
      </c>
      <c r="AR164" s="69">
        <v>1155901</v>
      </c>
      <c r="AS164" s="69">
        <v>1807455</v>
      </c>
      <c r="AT164" s="69">
        <v>1329037</v>
      </c>
      <c r="AU164" s="69">
        <v>611425</v>
      </c>
      <c r="AV164">
        <v>774215</v>
      </c>
      <c r="AW164">
        <v>1355259</v>
      </c>
      <c r="AX164">
        <v>871501</v>
      </c>
    </row>
    <row r="165" spans="1:50" ht="14.5" x14ac:dyDescent="0.35">
      <c r="A165" s="68" t="s">
        <v>317</v>
      </c>
      <c r="B165" s="68" t="str">
        <f>VLOOKUP(Tabelle_Abfrage_von_MS_Access_Database[[#This Row],[LAND]],Texte!$A$4:$C$261,Texte!$A$1+1,FALSE)</f>
        <v>Französisch-Guayana</v>
      </c>
      <c r="C165" s="68" t="s">
        <v>508</v>
      </c>
      <c r="D165" s="68" t="s">
        <v>526</v>
      </c>
      <c r="E165" s="69">
        <v>9000</v>
      </c>
      <c r="F165" s="69">
        <v>2000</v>
      </c>
      <c r="G165" s="69">
        <v>16000</v>
      </c>
      <c r="H165" s="69">
        <v>1000</v>
      </c>
      <c r="I165" s="69">
        <v>5000</v>
      </c>
      <c r="J165" s="69">
        <v>1000</v>
      </c>
      <c r="K165" s="69">
        <v>46000</v>
      </c>
      <c r="L165" s="69">
        <v>10000</v>
      </c>
      <c r="M165" s="69">
        <v>33000</v>
      </c>
      <c r="N165" s="69">
        <v>100000</v>
      </c>
      <c r="O165" s="69">
        <v>303000</v>
      </c>
      <c r="P165" s="69">
        <v>287000</v>
      </c>
      <c r="Q165" s="69">
        <v>429000</v>
      </c>
      <c r="R165" s="69">
        <v>341000</v>
      </c>
      <c r="S165" s="69">
        <v>193000</v>
      </c>
      <c r="T165" s="69">
        <v>164000</v>
      </c>
      <c r="U165" s="69">
        <v>173000</v>
      </c>
      <c r="V165" s="69">
        <v>313728</v>
      </c>
      <c r="W165" s="69">
        <v>667647</v>
      </c>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row>
    <row r="166" spans="1:50" ht="14.5" x14ac:dyDescent="0.35">
      <c r="A166" s="68" t="s">
        <v>319</v>
      </c>
      <c r="B166" s="68" t="str">
        <f>VLOOKUP(Tabelle_Abfrage_von_MS_Access_Database[[#This Row],[LAND]],Texte!$A$4:$C$261,Texte!$A$1+1,FALSE)</f>
        <v>Ecuador</v>
      </c>
      <c r="C166" s="68" t="s">
        <v>508</v>
      </c>
      <c r="D166" s="68" t="s">
        <v>557</v>
      </c>
      <c r="E166" s="69">
        <v>4891000</v>
      </c>
      <c r="F166" s="69">
        <v>4737000</v>
      </c>
      <c r="G166" s="69">
        <v>5671000</v>
      </c>
      <c r="H166" s="69">
        <v>6272000</v>
      </c>
      <c r="I166" s="69">
        <v>6226000</v>
      </c>
      <c r="J166" s="69">
        <v>4969000</v>
      </c>
      <c r="K166" s="69">
        <v>9773000</v>
      </c>
      <c r="L166" s="69">
        <v>11018000</v>
      </c>
      <c r="M166" s="69">
        <v>12685000</v>
      </c>
      <c r="N166" s="69">
        <v>5801000</v>
      </c>
      <c r="O166" s="69">
        <v>4534000</v>
      </c>
      <c r="P166" s="69">
        <v>4599000</v>
      </c>
      <c r="Q166" s="69">
        <v>4767000</v>
      </c>
      <c r="R166" s="69">
        <v>4492000</v>
      </c>
      <c r="S166" s="69">
        <v>7540000</v>
      </c>
      <c r="T166" s="69">
        <v>2717000</v>
      </c>
      <c r="U166" s="69">
        <v>4994000</v>
      </c>
      <c r="V166" s="69">
        <v>4617123</v>
      </c>
      <c r="W166" s="69">
        <v>4175415</v>
      </c>
      <c r="X166" s="69">
        <v>7868713</v>
      </c>
      <c r="Y166" s="69">
        <v>7523743</v>
      </c>
      <c r="Z166" s="69">
        <v>4702293</v>
      </c>
      <c r="AA166" s="69">
        <v>6952823</v>
      </c>
      <c r="AB166" s="69">
        <v>6648554</v>
      </c>
      <c r="AC166" s="69">
        <v>8521574</v>
      </c>
      <c r="AD166" s="69">
        <v>7133683</v>
      </c>
      <c r="AE166" s="69">
        <v>6204554</v>
      </c>
      <c r="AF166" s="69">
        <v>9772916</v>
      </c>
      <c r="AG166" s="69">
        <v>11426269</v>
      </c>
      <c r="AH166" s="69">
        <v>18429968</v>
      </c>
      <c r="AI166" s="69">
        <v>19925389</v>
      </c>
      <c r="AJ166" s="69">
        <v>21350167</v>
      </c>
      <c r="AK166" s="69">
        <v>28926246</v>
      </c>
      <c r="AL166" s="69">
        <v>26755767</v>
      </c>
      <c r="AM166" s="69">
        <v>35362227</v>
      </c>
      <c r="AN166" s="69">
        <v>36385060</v>
      </c>
      <c r="AO166" s="69">
        <v>33812414</v>
      </c>
      <c r="AP166" s="69">
        <v>40484126</v>
      </c>
      <c r="AQ166" s="69">
        <v>31738065</v>
      </c>
      <c r="AR166" s="69">
        <v>38529866</v>
      </c>
      <c r="AS166" s="69">
        <v>44778950</v>
      </c>
      <c r="AT166" s="69">
        <v>44597185</v>
      </c>
      <c r="AU166" s="69">
        <v>38598340</v>
      </c>
      <c r="AV166">
        <v>55256098</v>
      </c>
      <c r="AW166">
        <v>69426051</v>
      </c>
      <c r="AX166">
        <v>60642006</v>
      </c>
    </row>
    <row r="167" spans="1:50" ht="14.5" x14ac:dyDescent="0.35">
      <c r="A167" s="68" t="s">
        <v>321</v>
      </c>
      <c r="B167" s="68" t="str">
        <f>VLOOKUP(Tabelle_Abfrage_von_MS_Access_Database[[#This Row],[LAND]],Texte!$A$4:$C$261,Texte!$A$1+1,FALSE)</f>
        <v>Peru</v>
      </c>
      <c r="C167" s="68" t="s">
        <v>508</v>
      </c>
      <c r="D167" s="68" t="s">
        <v>557</v>
      </c>
      <c r="E167" s="69">
        <v>4381000</v>
      </c>
      <c r="F167" s="69">
        <v>5502000</v>
      </c>
      <c r="G167" s="69">
        <v>10612000</v>
      </c>
      <c r="H167" s="69">
        <v>31454000</v>
      </c>
      <c r="I167" s="69">
        <v>21806000</v>
      </c>
      <c r="J167" s="69">
        <v>8907000</v>
      </c>
      <c r="K167" s="69">
        <v>9378000</v>
      </c>
      <c r="L167" s="69">
        <v>11559000</v>
      </c>
      <c r="M167" s="69">
        <v>12846000</v>
      </c>
      <c r="N167" s="69">
        <v>17054000</v>
      </c>
      <c r="O167" s="69">
        <v>11973000</v>
      </c>
      <c r="P167" s="69">
        <v>8338000</v>
      </c>
      <c r="Q167" s="69">
        <v>5075000</v>
      </c>
      <c r="R167" s="69">
        <v>6300000</v>
      </c>
      <c r="S167" s="69">
        <v>6424000</v>
      </c>
      <c r="T167" s="69">
        <v>7406000</v>
      </c>
      <c r="U167" s="69">
        <v>12543000</v>
      </c>
      <c r="V167" s="69">
        <v>20132845</v>
      </c>
      <c r="W167" s="69">
        <v>17416193</v>
      </c>
      <c r="X167" s="69">
        <v>17957886</v>
      </c>
      <c r="Y167" s="69">
        <v>16918591</v>
      </c>
      <c r="Z167" s="69">
        <v>21596842</v>
      </c>
      <c r="AA167" s="69">
        <v>17794742</v>
      </c>
      <c r="AB167" s="69">
        <v>15952875</v>
      </c>
      <c r="AC167" s="69">
        <v>20389565</v>
      </c>
      <c r="AD167" s="69">
        <v>19063030</v>
      </c>
      <c r="AE167" s="69">
        <v>17760043</v>
      </c>
      <c r="AF167" s="69">
        <v>17616689</v>
      </c>
      <c r="AG167" s="69">
        <v>27619934</v>
      </c>
      <c r="AH167" s="69">
        <v>38909956</v>
      </c>
      <c r="AI167" s="69">
        <v>59046992</v>
      </c>
      <c r="AJ167" s="69">
        <v>52767681</v>
      </c>
      <c r="AK167" s="69">
        <v>55735829</v>
      </c>
      <c r="AL167" s="69">
        <v>52028724</v>
      </c>
      <c r="AM167" s="69">
        <v>100522558</v>
      </c>
      <c r="AN167" s="69">
        <v>95610841</v>
      </c>
      <c r="AO167" s="69">
        <v>92397544</v>
      </c>
      <c r="AP167" s="69">
        <v>89183585</v>
      </c>
      <c r="AQ167" s="69">
        <v>85741843</v>
      </c>
      <c r="AR167" s="69">
        <v>60017994</v>
      </c>
      <c r="AS167" s="69">
        <v>82066752</v>
      </c>
      <c r="AT167" s="69">
        <v>75041457</v>
      </c>
      <c r="AU167" s="69">
        <v>54345714</v>
      </c>
      <c r="AV167">
        <v>55644450</v>
      </c>
      <c r="AW167">
        <v>76633206</v>
      </c>
      <c r="AX167">
        <v>74270893</v>
      </c>
    </row>
    <row r="168" spans="1:50" ht="14.5" x14ac:dyDescent="0.35">
      <c r="A168" s="68" t="s">
        <v>323</v>
      </c>
      <c r="B168" s="68" t="str">
        <f>VLOOKUP(Tabelle_Abfrage_von_MS_Access_Database[[#This Row],[LAND]],Texte!$A$4:$C$261,Texte!$A$1+1,FALSE)</f>
        <v>Brasilien</v>
      </c>
      <c r="C168" s="68" t="s">
        <v>508</v>
      </c>
      <c r="D168" s="68" t="s">
        <v>557</v>
      </c>
      <c r="E168" s="69">
        <v>32427000</v>
      </c>
      <c r="F168" s="69">
        <v>41826000</v>
      </c>
      <c r="G168" s="69">
        <v>34738000</v>
      </c>
      <c r="H168" s="69">
        <v>40013000</v>
      </c>
      <c r="I168" s="69">
        <v>37408000</v>
      </c>
      <c r="J168" s="69">
        <v>27687000</v>
      </c>
      <c r="K168" s="69">
        <v>28192000</v>
      </c>
      <c r="L168" s="69">
        <v>24115000</v>
      </c>
      <c r="M168" s="69">
        <v>44829000</v>
      </c>
      <c r="N168" s="69">
        <v>27603000</v>
      </c>
      <c r="O168" s="69">
        <v>25510000</v>
      </c>
      <c r="P168" s="69">
        <v>43461000</v>
      </c>
      <c r="Q168" s="69">
        <v>41511000</v>
      </c>
      <c r="R168" s="69">
        <v>54039000</v>
      </c>
      <c r="S168" s="69">
        <v>49859000</v>
      </c>
      <c r="T168" s="69">
        <v>62630000</v>
      </c>
      <c r="U168" s="69">
        <v>105277000</v>
      </c>
      <c r="V168" s="69">
        <v>192545656</v>
      </c>
      <c r="W168" s="69">
        <v>216775863</v>
      </c>
      <c r="X168" s="69">
        <v>288035350</v>
      </c>
      <c r="Y168" s="69">
        <v>247513139</v>
      </c>
      <c r="Z168" s="69">
        <v>250396013</v>
      </c>
      <c r="AA168" s="69">
        <v>308613521</v>
      </c>
      <c r="AB168" s="69">
        <v>364455591</v>
      </c>
      <c r="AC168" s="69">
        <v>251027883</v>
      </c>
      <c r="AD168" s="69">
        <v>192838176</v>
      </c>
      <c r="AE168" s="69">
        <v>227230461</v>
      </c>
      <c r="AF168" s="69">
        <v>281201851</v>
      </c>
      <c r="AG168" s="69">
        <v>318790752</v>
      </c>
      <c r="AH168" s="69">
        <v>501914269</v>
      </c>
      <c r="AI168" s="69">
        <v>684621920</v>
      </c>
      <c r="AJ168" s="69">
        <v>628896423</v>
      </c>
      <c r="AK168" s="69">
        <v>843833948</v>
      </c>
      <c r="AL168" s="69">
        <v>967842860</v>
      </c>
      <c r="AM168" s="69">
        <v>1061380569</v>
      </c>
      <c r="AN168" s="69">
        <v>854080936</v>
      </c>
      <c r="AO168" s="69">
        <v>706556972</v>
      </c>
      <c r="AP168" s="69">
        <v>636899125</v>
      </c>
      <c r="AQ168" s="69">
        <v>574433637</v>
      </c>
      <c r="AR168" s="69">
        <v>726363369</v>
      </c>
      <c r="AS168" s="69">
        <v>832585782</v>
      </c>
      <c r="AT168" s="69">
        <v>757601504</v>
      </c>
      <c r="AU168" s="69">
        <v>633001494</v>
      </c>
      <c r="AV168">
        <v>766871324</v>
      </c>
      <c r="AW168">
        <v>1120135691</v>
      </c>
      <c r="AX168">
        <v>1028537464</v>
      </c>
    </row>
    <row r="169" spans="1:50" ht="14.5" x14ac:dyDescent="0.35">
      <c r="A169" s="68" t="s">
        <v>325</v>
      </c>
      <c r="B169" s="68" t="str">
        <f>VLOOKUP(Tabelle_Abfrage_von_MS_Access_Database[[#This Row],[LAND]],Texte!$A$4:$C$261,Texte!$A$1+1,FALSE)</f>
        <v>Chile</v>
      </c>
      <c r="C169" s="68" t="s">
        <v>508</v>
      </c>
      <c r="D169" s="68" t="s">
        <v>557</v>
      </c>
      <c r="E169" s="69">
        <v>10415000</v>
      </c>
      <c r="F169" s="69">
        <v>11894000</v>
      </c>
      <c r="G169" s="69">
        <v>9539000</v>
      </c>
      <c r="H169" s="69">
        <v>17671000</v>
      </c>
      <c r="I169" s="69">
        <v>16691000</v>
      </c>
      <c r="J169" s="69">
        <v>13422000</v>
      </c>
      <c r="K169" s="69">
        <v>16600000</v>
      </c>
      <c r="L169" s="69">
        <v>21171000</v>
      </c>
      <c r="M169" s="69">
        <v>12649000</v>
      </c>
      <c r="N169" s="69">
        <v>17792000</v>
      </c>
      <c r="O169" s="69">
        <v>17039000</v>
      </c>
      <c r="P169" s="69">
        <v>20810000</v>
      </c>
      <c r="Q169" s="69">
        <v>18965000</v>
      </c>
      <c r="R169" s="69">
        <v>21733000</v>
      </c>
      <c r="S169" s="69">
        <v>22942000</v>
      </c>
      <c r="T169" s="69">
        <v>29483000</v>
      </c>
      <c r="U169" s="69">
        <v>25885000</v>
      </c>
      <c r="V169" s="69">
        <v>22941150</v>
      </c>
      <c r="W169" s="69">
        <v>27078251</v>
      </c>
      <c r="X169" s="69">
        <v>37973956</v>
      </c>
      <c r="Y169" s="69">
        <v>30735003</v>
      </c>
      <c r="Z169" s="69">
        <v>34112983</v>
      </c>
      <c r="AA169" s="69">
        <v>39457946</v>
      </c>
      <c r="AB169" s="69">
        <v>33918015</v>
      </c>
      <c r="AC169" s="69">
        <v>39100566</v>
      </c>
      <c r="AD169" s="69">
        <v>39458675</v>
      </c>
      <c r="AE169" s="69">
        <v>50519430</v>
      </c>
      <c r="AF169" s="69">
        <v>76108132</v>
      </c>
      <c r="AG169" s="69">
        <v>81028061</v>
      </c>
      <c r="AH169" s="69">
        <v>104907386</v>
      </c>
      <c r="AI169" s="69">
        <v>109459074</v>
      </c>
      <c r="AJ169" s="69">
        <v>71184129</v>
      </c>
      <c r="AK169" s="69">
        <v>126309766</v>
      </c>
      <c r="AL169" s="69">
        <v>146173330</v>
      </c>
      <c r="AM169" s="69">
        <v>152809164</v>
      </c>
      <c r="AN169" s="69">
        <v>196817413</v>
      </c>
      <c r="AO169" s="69">
        <v>139993582</v>
      </c>
      <c r="AP169" s="69">
        <v>159132951</v>
      </c>
      <c r="AQ169" s="69">
        <v>179473454</v>
      </c>
      <c r="AR169" s="69">
        <v>183055257</v>
      </c>
      <c r="AS169" s="69">
        <v>199220728</v>
      </c>
      <c r="AT169" s="69">
        <v>197523910</v>
      </c>
      <c r="AU169" s="69">
        <v>204289593</v>
      </c>
      <c r="AV169">
        <v>245423282</v>
      </c>
      <c r="AW169">
        <v>259965190</v>
      </c>
      <c r="AX169">
        <v>248691580</v>
      </c>
    </row>
    <row r="170" spans="1:50" ht="14.5" x14ac:dyDescent="0.35">
      <c r="A170" s="68" t="s">
        <v>327</v>
      </c>
      <c r="B170" s="68" t="str">
        <f>VLOOKUP(Tabelle_Abfrage_von_MS_Access_Database[[#This Row],[LAND]],Texte!$A$4:$C$261,Texte!$A$1+1,FALSE)</f>
        <v>Bolivien</v>
      </c>
      <c r="C170" s="68" t="s">
        <v>508</v>
      </c>
      <c r="D170" s="68" t="s">
        <v>557</v>
      </c>
      <c r="E170" s="69">
        <v>2951000</v>
      </c>
      <c r="F170" s="69">
        <v>3761000</v>
      </c>
      <c r="G170" s="69">
        <v>6236000</v>
      </c>
      <c r="H170" s="69">
        <v>5059000</v>
      </c>
      <c r="I170" s="69">
        <v>1131000</v>
      </c>
      <c r="J170" s="69">
        <v>2359000</v>
      </c>
      <c r="K170" s="69">
        <v>1559000</v>
      </c>
      <c r="L170" s="69">
        <v>1759000</v>
      </c>
      <c r="M170" s="69">
        <v>814000</v>
      </c>
      <c r="N170" s="69">
        <v>1076000</v>
      </c>
      <c r="O170" s="69">
        <v>868000</v>
      </c>
      <c r="P170" s="69">
        <v>1249000</v>
      </c>
      <c r="Q170" s="69">
        <v>1519000</v>
      </c>
      <c r="R170" s="69">
        <v>1898000</v>
      </c>
      <c r="S170" s="69">
        <v>1600000</v>
      </c>
      <c r="T170" s="69">
        <v>1507000</v>
      </c>
      <c r="U170" s="69">
        <v>1953000</v>
      </c>
      <c r="V170" s="69">
        <v>1542767</v>
      </c>
      <c r="W170" s="69">
        <v>2179893</v>
      </c>
      <c r="X170" s="69">
        <v>1639573</v>
      </c>
      <c r="Y170" s="69">
        <v>5811646</v>
      </c>
      <c r="Z170" s="69">
        <v>1903593</v>
      </c>
      <c r="AA170" s="69">
        <v>1879896</v>
      </c>
      <c r="AB170" s="69">
        <v>1634470</v>
      </c>
      <c r="AC170" s="69">
        <v>1591430</v>
      </c>
      <c r="AD170" s="69">
        <v>1466905</v>
      </c>
      <c r="AE170" s="69">
        <v>1593932</v>
      </c>
      <c r="AF170" s="69">
        <v>2003349</v>
      </c>
      <c r="AG170" s="69">
        <v>1945803</v>
      </c>
      <c r="AH170" s="69">
        <v>4370143</v>
      </c>
      <c r="AI170" s="69">
        <v>5844154</v>
      </c>
      <c r="AJ170" s="69">
        <v>3958584</v>
      </c>
      <c r="AK170" s="69">
        <v>8561354</v>
      </c>
      <c r="AL170" s="69">
        <v>7206157</v>
      </c>
      <c r="AM170" s="69">
        <v>10088207</v>
      </c>
      <c r="AN170" s="69">
        <v>26372365</v>
      </c>
      <c r="AO170" s="69">
        <v>49885941</v>
      </c>
      <c r="AP170" s="69">
        <v>20528397</v>
      </c>
      <c r="AQ170" s="69">
        <v>35875222</v>
      </c>
      <c r="AR170" s="69">
        <v>144985102</v>
      </c>
      <c r="AS170" s="69">
        <v>41861787</v>
      </c>
      <c r="AT170" s="69">
        <v>16900502</v>
      </c>
      <c r="AU170" s="69">
        <v>17495176</v>
      </c>
      <c r="AV170">
        <v>14076287</v>
      </c>
      <c r="AW170">
        <v>12562930</v>
      </c>
      <c r="AX170">
        <v>12508113</v>
      </c>
    </row>
    <row r="171" spans="1:50" ht="14.5" x14ac:dyDescent="0.35">
      <c r="A171" s="68" t="s">
        <v>329</v>
      </c>
      <c r="B171" s="68" t="str">
        <f>VLOOKUP(Tabelle_Abfrage_von_MS_Access_Database[[#This Row],[LAND]],Texte!$A$4:$C$261,Texte!$A$1+1,FALSE)</f>
        <v>Paraguay</v>
      </c>
      <c r="C171" s="68" t="s">
        <v>508</v>
      </c>
      <c r="D171" s="68" t="s">
        <v>557</v>
      </c>
      <c r="E171" s="69">
        <v>4160000</v>
      </c>
      <c r="F171" s="69">
        <v>6315000</v>
      </c>
      <c r="G171" s="69">
        <v>3187000</v>
      </c>
      <c r="H171" s="69">
        <v>3121000</v>
      </c>
      <c r="I171" s="69">
        <v>2043000</v>
      </c>
      <c r="J171" s="69">
        <v>823000</v>
      </c>
      <c r="K171" s="69">
        <v>1297000</v>
      </c>
      <c r="L171" s="69">
        <v>1674000</v>
      </c>
      <c r="M171" s="69">
        <v>1324000</v>
      </c>
      <c r="N171" s="69">
        <v>1283000</v>
      </c>
      <c r="O171" s="69">
        <v>887000</v>
      </c>
      <c r="P171" s="69">
        <v>3546000</v>
      </c>
      <c r="Q171" s="69">
        <v>1847000</v>
      </c>
      <c r="R171" s="69">
        <v>1706000</v>
      </c>
      <c r="S171" s="69">
        <v>2444000</v>
      </c>
      <c r="T171" s="69">
        <v>1569000</v>
      </c>
      <c r="U171" s="69">
        <v>3236000</v>
      </c>
      <c r="V171" s="69">
        <v>1674237</v>
      </c>
      <c r="W171" s="69">
        <v>2749504</v>
      </c>
      <c r="X171" s="69">
        <v>1137835</v>
      </c>
      <c r="Y171" s="69">
        <v>920701</v>
      </c>
      <c r="Z171" s="69">
        <v>2342538</v>
      </c>
      <c r="AA171" s="69">
        <v>2632063</v>
      </c>
      <c r="AB171" s="69">
        <v>4397403</v>
      </c>
      <c r="AC171" s="69">
        <v>2566304</v>
      </c>
      <c r="AD171" s="69">
        <v>2303954</v>
      </c>
      <c r="AE171" s="69">
        <v>1539364</v>
      </c>
      <c r="AF171" s="69">
        <v>5132230</v>
      </c>
      <c r="AG171" s="69">
        <v>3366976</v>
      </c>
      <c r="AH171" s="69">
        <v>4652495</v>
      </c>
      <c r="AI171" s="69">
        <v>5972832</v>
      </c>
      <c r="AJ171" s="69">
        <v>5405575</v>
      </c>
      <c r="AK171" s="69">
        <v>7956006</v>
      </c>
      <c r="AL171" s="69">
        <v>9341872</v>
      </c>
      <c r="AM171" s="69">
        <v>10346865</v>
      </c>
      <c r="AN171" s="69">
        <v>24218513</v>
      </c>
      <c r="AO171" s="69">
        <v>20189853</v>
      </c>
      <c r="AP171" s="69">
        <v>9726667</v>
      </c>
      <c r="AQ171" s="69">
        <v>11300622</v>
      </c>
      <c r="AR171" s="69">
        <v>12186008</v>
      </c>
      <c r="AS171" s="69">
        <v>14567103</v>
      </c>
      <c r="AT171" s="69">
        <v>14074344</v>
      </c>
      <c r="AU171" s="69">
        <v>13730952</v>
      </c>
      <c r="AV171">
        <v>16228178</v>
      </c>
      <c r="AW171">
        <v>15893717</v>
      </c>
      <c r="AX171">
        <v>18309196</v>
      </c>
    </row>
    <row r="172" spans="1:50" ht="14.5" x14ac:dyDescent="0.35">
      <c r="A172" s="68" t="s">
        <v>331</v>
      </c>
      <c r="B172" s="68" t="str">
        <f>VLOOKUP(Tabelle_Abfrage_von_MS_Access_Database[[#This Row],[LAND]],Texte!$A$4:$C$261,Texte!$A$1+1,FALSE)</f>
        <v>Uruguay</v>
      </c>
      <c r="C172" s="68" t="s">
        <v>508</v>
      </c>
      <c r="D172" s="68" t="s">
        <v>557</v>
      </c>
      <c r="E172" s="69">
        <v>2782000</v>
      </c>
      <c r="F172" s="69">
        <v>5022000</v>
      </c>
      <c r="G172" s="69">
        <v>10089000</v>
      </c>
      <c r="H172" s="69">
        <v>9289000</v>
      </c>
      <c r="I172" s="69">
        <v>6372000</v>
      </c>
      <c r="J172" s="69">
        <v>2395000</v>
      </c>
      <c r="K172" s="69">
        <v>9399000</v>
      </c>
      <c r="L172" s="69">
        <v>6404000</v>
      </c>
      <c r="M172" s="69">
        <v>4618000</v>
      </c>
      <c r="N172" s="69">
        <v>4146000</v>
      </c>
      <c r="O172" s="69">
        <v>5872000</v>
      </c>
      <c r="P172" s="69">
        <v>4280000</v>
      </c>
      <c r="Q172" s="69">
        <v>7581000</v>
      </c>
      <c r="R172" s="69">
        <v>6495000</v>
      </c>
      <c r="S172" s="69">
        <v>4398000</v>
      </c>
      <c r="T172" s="69">
        <v>5568000</v>
      </c>
      <c r="U172" s="69">
        <v>7367000</v>
      </c>
      <c r="V172" s="69">
        <v>9632054</v>
      </c>
      <c r="W172" s="69">
        <v>3071599</v>
      </c>
      <c r="X172" s="69">
        <v>5797992</v>
      </c>
      <c r="Y172" s="69">
        <v>3959068</v>
      </c>
      <c r="Z172" s="69">
        <v>7825625</v>
      </c>
      <c r="AA172" s="69">
        <v>8229405</v>
      </c>
      <c r="AB172" s="69">
        <v>7787616</v>
      </c>
      <c r="AC172" s="69">
        <v>6548205</v>
      </c>
      <c r="AD172" s="69">
        <v>3123382</v>
      </c>
      <c r="AE172" s="69">
        <v>7252279</v>
      </c>
      <c r="AF172" s="69">
        <v>10247899</v>
      </c>
      <c r="AG172" s="69">
        <v>58791785</v>
      </c>
      <c r="AH172" s="69">
        <v>18968075</v>
      </c>
      <c r="AI172" s="69">
        <v>12863873</v>
      </c>
      <c r="AJ172" s="69">
        <v>13327630</v>
      </c>
      <c r="AK172" s="69">
        <v>15747643</v>
      </c>
      <c r="AL172" s="69">
        <v>15148521</v>
      </c>
      <c r="AM172" s="69">
        <v>52390219</v>
      </c>
      <c r="AN172" s="69">
        <v>19496599</v>
      </c>
      <c r="AO172" s="69">
        <v>21647286</v>
      </c>
      <c r="AP172" s="69">
        <v>22802570</v>
      </c>
      <c r="AQ172" s="69">
        <v>15457070</v>
      </c>
      <c r="AR172" s="69">
        <v>22463006</v>
      </c>
      <c r="AS172" s="69">
        <v>17573075</v>
      </c>
      <c r="AT172" s="69">
        <v>19567180</v>
      </c>
      <c r="AU172" s="69">
        <v>20574220</v>
      </c>
      <c r="AV172">
        <v>27972905</v>
      </c>
      <c r="AW172">
        <v>38352547</v>
      </c>
      <c r="AX172">
        <v>52170577</v>
      </c>
    </row>
    <row r="173" spans="1:50" ht="14.5" x14ac:dyDescent="0.35">
      <c r="A173" s="68" t="s">
        <v>333</v>
      </c>
      <c r="B173" s="68" t="str">
        <f>VLOOKUP(Tabelle_Abfrage_von_MS_Access_Database[[#This Row],[LAND]],Texte!$A$4:$C$261,Texte!$A$1+1,FALSE)</f>
        <v>Argentinien</v>
      </c>
      <c r="C173" s="68" t="s">
        <v>508</v>
      </c>
      <c r="D173" s="68" t="s">
        <v>557</v>
      </c>
      <c r="E173" s="69">
        <v>41289000</v>
      </c>
      <c r="F173" s="69">
        <v>51353000</v>
      </c>
      <c r="G173" s="69">
        <v>56287000</v>
      </c>
      <c r="H173" s="69">
        <v>71560000</v>
      </c>
      <c r="I173" s="69">
        <v>38530000</v>
      </c>
      <c r="J173" s="69">
        <v>48947000</v>
      </c>
      <c r="K173" s="69">
        <v>48640000</v>
      </c>
      <c r="L173" s="69">
        <v>46010000</v>
      </c>
      <c r="M173" s="69">
        <v>41286000</v>
      </c>
      <c r="N173" s="69">
        <v>55856000</v>
      </c>
      <c r="O173" s="69">
        <v>28008000</v>
      </c>
      <c r="P173" s="69">
        <v>21448000</v>
      </c>
      <c r="Q173" s="69">
        <v>24438000</v>
      </c>
      <c r="R173" s="69">
        <v>34382000</v>
      </c>
      <c r="S173" s="69">
        <v>47402000</v>
      </c>
      <c r="T173" s="69">
        <v>46914000</v>
      </c>
      <c r="U173" s="69">
        <v>63607000</v>
      </c>
      <c r="V173" s="69">
        <v>51694209</v>
      </c>
      <c r="W173" s="69">
        <v>68792769</v>
      </c>
      <c r="X173" s="69">
        <v>104534207</v>
      </c>
      <c r="Y173" s="69">
        <v>108500238</v>
      </c>
      <c r="Z173" s="69">
        <v>82383872</v>
      </c>
      <c r="AA173" s="69">
        <v>75367403</v>
      </c>
      <c r="AB173" s="69">
        <v>90626160</v>
      </c>
      <c r="AC173" s="69">
        <v>30203494</v>
      </c>
      <c r="AD173" s="69">
        <v>42811516</v>
      </c>
      <c r="AE173" s="69">
        <v>66004773</v>
      </c>
      <c r="AF173" s="69">
        <v>72574871</v>
      </c>
      <c r="AG173" s="69">
        <v>91745717</v>
      </c>
      <c r="AH173" s="69">
        <v>101786848</v>
      </c>
      <c r="AI173" s="69">
        <v>115951617</v>
      </c>
      <c r="AJ173" s="69">
        <v>81932218</v>
      </c>
      <c r="AK173" s="69">
        <v>121842021</v>
      </c>
      <c r="AL173" s="69">
        <v>126335986</v>
      </c>
      <c r="AM173" s="69">
        <v>194179766</v>
      </c>
      <c r="AN173" s="69">
        <v>126277152</v>
      </c>
      <c r="AO173" s="69">
        <v>121072493</v>
      </c>
      <c r="AP173" s="69">
        <v>119093427</v>
      </c>
      <c r="AQ173" s="69">
        <v>126634249</v>
      </c>
      <c r="AR173" s="69">
        <v>147977361</v>
      </c>
      <c r="AS173" s="69">
        <v>133633226</v>
      </c>
      <c r="AT173" s="69">
        <v>142234243</v>
      </c>
      <c r="AU173" s="69">
        <v>103091022</v>
      </c>
      <c r="AV173">
        <v>118101622</v>
      </c>
      <c r="AW173">
        <v>161195050</v>
      </c>
      <c r="AX173">
        <v>173649891</v>
      </c>
    </row>
    <row r="174" spans="1:50" ht="14.5" x14ac:dyDescent="0.35">
      <c r="A174" s="68" t="s">
        <v>335</v>
      </c>
      <c r="B174" s="68" t="str">
        <f>VLOOKUP(Tabelle_Abfrage_von_MS_Access_Database[[#This Row],[LAND]],Texte!$A$4:$C$261,Texte!$A$1+1,FALSE)</f>
        <v>Falklandinseln</v>
      </c>
      <c r="C174" s="68" t="s">
        <v>508</v>
      </c>
      <c r="D174" s="68" t="s">
        <v>557</v>
      </c>
      <c r="E174" s="69">
        <v>0</v>
      </c>
      <c r="F174" s="69">
        <v>0</v>
      </c>
      <c r="G174" s="69">
        <v>8000</v>
      </c>
      <c r="H174" s="69">
        <v>0</v>
      </c>
      <c r="I174" s="69">
        <v>0</v>
      </c>
      <c r="J174" s="69">
        <v>0</v>
      </c>
      <c r="K174" s="69">
        <v>0</v>
      </c>
      <c r="L174" s="69">
        <v>0</v>
      </c>
      <c r="M174" s="69">
        <v>0</v>
      </c>
      <c r="N174" s="69">
        <v>0</v>
      </c>
      <c r="O174" s="69">
        <v>120000</v>
      </c>
      <c r="P174" s="69">
        <v>158000</v>
      </c>
      <c r="Q174" s="69">
        <v>96000</v>
      </c>
      <c r="R174" s="69">
        <v>42000</v>
      </c>
      <c r="S174" s="69">
        <v>100000</v>
      </c>
      <c r="T174" s="69">
        <v>16000</v>
      </c>
      <c r="U174" s="69">
        <v>61000</v>
      </c>
      <c r="V174" s="69">
        <v>17151</v>
      </c>
      <c r="W174" s="69">
        <v>0</v>
      </c>
      <c r="X174" s="69">
        <v>0</v>
      </c>
      <c r="Y174" s="69">
        <v>0</v>
      </c>
      <c r="Z174" s="69">
        <v>1308</v>
      </c>
      <c r="AA174" s="69">
        <v>29432</v>
      </c>
      <c r="AB174" s="69">
        <v>1769</v>
      </c>
      <c r="AC174" s="69">
        <v>3315</v>
      </c>
      <c r="AD174" s="69">
        <v>4141</v>
      </c>
      <c r="AE174" s="69">
        <v>0</v>
      </c>
      <c r="AF174" s="69">
        <v>4505</v>
      </c>
      <c r="AG174" s="69">
        <v>2215</v>
      </c>
      <c r="AH174" s="69">
        <v>2192</v>
      </c>
      <c r="AI174" s="69">
        <v>4693</v>
      </c>
      <c r="AJ174" s="69">
        <v>4675</v>
      </c>
      <c r="AK174" s="69">
        <v>6599</v>
      </c>
      <c r="AL174" s="69">
        <v>6397</v>
      </c>
      <c r="AM174" s="69">
        <v>2247</v>
      </c>
      <c r="AN174" s="69">
        <v>10369</v>
      </c>
      <c r="AO174" s="69">
        <v>12254</v>
      </c>
      <c r="AP174" s="69">
        <v>4624</v>
      </c>
      <c r="AQ174" s="69">
        <v>225352</v>
      </c>
      <c r="AR174" s="69">
        <v>5626</v>
      </c>
      <c r="AS174" s="69">
        <v>41101</v>
      </c>
      <c r="AT174" s="69">
        <v>5510</v>
      </c>
      <c r="AU174" s="69">
        <v>3551</v>
      </c>
      <c r="AV174">
        <v>15769</v>
      </c>
      <c r="AW174">
        <v>482</v>
      </c>
      <c r="AX174">
        <v>16912</v>
      </c>
    </row>
    <row r="175" spans="1:50" ht="14.5" x14ac:dyDescent="0.35">
      <c r="A175" s="68" t="s">
        <v>337</v>
      </c>
      <c r="B175" s="68" t="str">
        <f>VLOOKUP(Tabelle_Abfrage_von_MS_Access_Database[[#This Row],[LAND]],Texte!$A$4:$C$261,Texte!$A$1+1,FALSE)</f>
        <v>Zypern</v>
      </c>
      <c r="C175" s="68" t="s">
        <v>508</v>
      </c>
      <c r="D175" s="68" t="s">
        <v>557</v>
      </c>
      <c r="E175" s="69">
        <v>8453000</v>
      </c>
      <c r="F175" s="69">
        <v>10516000</v>
      </c>
      <c r="G175" s="69">
        <v>11713000</v>
      </c>
      <c r="H175" s="69">
        <v>22328000</v>
      </c>
      <c r="I175" s="69">
        <v>19308000</v>
      </c>
      <c r="J175" s="69">
        <v>13610000</v>
      </c>
      <c r="K175" s="69">
        <v>15732000</v>
      </c>
      <c r="L175" s="69">
        <v>14267000</v>
      </c>
      <c r="M175" s="69">
        <v>9439000</v>
      </c>
      <c r="N175" s="69">
        <v>16908000</v>
      </c>
      <c r="O175" s="69">
        <v>20812000</v>
      </c>
      <c r="P175" s="69">
        <v>21232000</v>
      </c>
      <c r="Q175" s="69">
        <v>19411000</v>
      </c>
      <c r="R175" s="69">
        <v>25366000</v>
      </c>
      <c r="S175" s="69">
        <v>31512000</v>
      </c>
      <c r="T175" s="69">
        <v>18506000</v>
      </c>
      <c r="U175" s="69">
        <v>13949000</v>
      </c>
      <c r="V175" s="69">
        <v>14982229</v>
      </c>
      <c r="W175" s="69">
        <v>15197924</v>
      </c>
      <c r="X175" s="69">
        <v>18228961</v>
      </c>
      <c r="Y175" s="69">
        <v>28515504</v>
      </c>
      <c r="Z175" s="69">
        <v>28834188</v>
      </c>
      <c r="AA175" s="69">
        <v>38035575</v>
      </c>
      <c r="AB175" s="69">
        <v>37166207</v>
      </c>
      <c r="AC175" s="69">
        <v>105007189</v>
      </c>
      <c r="AD175" s="69">
        <v>48121107</v>
      </c>
      <c r="AE175" s="69">
        <v>39920375</v>
      </c>
      <c r="AF175" s="69">
        <v>45707164</v>
      </c>
      <c r="AG175" s="69">
        <v>50867009</v>
      </c>
      <c r="AH175" s="69">
        <v>62608103</v>
      </c>
      <c r="AI175" s="69">
        <v>76088396</v>
      </c>
      <c r="AJ175" s="69">
        <v>71432054</v>
      </c>
      <c r="AK175" s="69">
        <v>96787191</v>
      </c>
      <c r="AL175" s="69">
        <v>124133172</v>
      </c>
      <c r="AM175" s="69">
        <v>104196869</v>
      </c>
      <c r="AN175" s="69">
        <v>218571038</v>
      </c>
      <c r="AO175" s="69">
        <v>82735059</v>
      </c>
      <c r="AP175" s="69">
        <v>66610516</v>
      </c>
      <c r="AQ175" s="69">
        <v>53172861</v>
      </c>
      <c r="AR175" s="69">
        <v>67600135</v>
      </c>
      <c r="AS175" s="69">
        <v>77585554</v>
      </c>
      <c r="AT175" s="69">
        <v>68437825</v>
      </c>
      <c r="AU175" s="69">
        <v>76003046</v>
      </c>
      <c r="AV175">
        <v>84145035</v>
      </c>
      <c r="AW175">
        <v>93619143</v>
      </c>
      <c r="AX175">
        <v>87090671</v>
      </c>
    </row>
    <row r="176" spans="1:50" ht="14.5" x14ac:dyDescent="0.35">
      <c r="A176" s="68" t="s">
        <v>339</v>
      </c>
      <c r="B176" s="68" t="str">
        <f>VLOOKUP(Tabelle_Abfrage_von_MS_Access_Database[[#This Row],[LAND]],Texte!$A$4:$C$261,Texte!$A$1+1,FALSE)</f>
        <v>Libanon</v>
      </c>
      <c r="C176" s="68" t="s">
        <v>508</v>
      </c>
      <c r="D176" s="68" t="s">
        <v>557</v>
      </c>
      <c r="E176" s="69">
        <v>25023000</v>
      </c>
      <c r="F176" s="69">
        <v>42667000</v>
      </c>
      <c r="G176" s="69">
        <v>35306000</v>
      </c>
      <c r="H176" s="69">
        <v>33025000</v>
      </c>
      <c r="I176" s="69">
        <v>41164000</v>
      </c>
      <c r="J176" s="69">
        <v>27232000</v>
      </c>
      <c r="K176" s="69">
        <v>25000000</v>
      </c>
      <c r="L176" s="69">
        <v>18642000</v>
      </c>
      <c r="M176" s="69">
        <v>16164000</v>
      </c>
      <c r="N176" s="69">
        <v>14441000</v>
      </c>
      <c r="O176" s="69">
        <v>33540000</v>
      </c>
      <c r="P176" s="69">
        <v>10882000</v>
      </c>
      <c r="Q176" s="69">
        <v>10544000</v>
      </c>
      <c r="R176" s="69">
        <v>18226000</v>
      </c>
      <c r="S176" s="69">
        <v>19077000</v>
      </c>
      <c r="T176" s="69">
        <v>18906000</v>
      </c>
      <c r="U176" s="69">
        <v>20662000</v>
      </c>
      <c r="V176" s="69">
        <v>24918717</v>
      </c>
      <c r="W176" s="69">
        <v>21025768</v>
      </c>
      <c r="X176" s="69">
        <v>24107979</v>
      </c>
      <c r="Y176" s="69">
        <v>32871892</v>
      </c>
      <c r="Z176" s="69">
        <v>26735239</v>
      </c>
      <c r="AA176" s="69">
        <v>24670180</v>
      </c>
      <c r="AB176" s="69">
        <v>28123381</v>
      </c>
      <c r="AC176" s="69">
        <v>26914275</v>
      </c>
      <c r="AD176" s="69">
        <v>26783166</v>
      </c>
      <c r="AE176" s="69">
        <v>26167758</v>
      </c>
      <c r="AF176" s="69">
        <v>25818177</v>
      </c>
      <c r="AG176" s="69">
        <v>32118922</v>
      </c>
      <c r="AH176" s="69">
        <v>37418159</v>
      </c>
      <c r="AI176" s="69">
        <v>43004644</v>
      </c>
      <c r="AJ176" s="69">
        <v>48936173</v>
      </c>
      <c r="AK176" s="69">
        <v>56080676</v>
      </c>
      <c r="AL176" s="69">
        <v>58672342</v>
      </c>
      <c r="AM176" s="69">
        <v>50971037</v>
      </c>
      <c r="AN176" s="69">
        <v>63672079</v>
      </c>
      <c r="AO176" s="69">
        <v>62482973</v>
      </c>
      <c r="AP176" s="69">
        <v>64346092</v>
      </c>
      <c r="AQ176" s="69">
        <v>63071838</v>
      </c>
      <c r="AR176" s="69">
        <v>54065649</v>
      </c>
      <c r="AS176" s="69">
        <v>52076848</v>
      </c>
      <c r="AT176" s="69">
        <v>47380236</v>
      </c>
      <c r="AU176" s="69">
        <v>18718656</v>
      </c>
      <c r="AV176">
        <v>19218122</v>
      </c>
      <c r="AW176">
        <v>29597545</v>
      </c>
      <c r="AX176">
        <v>26924650</v>
      </c>
    </row>
    <row r="177" spans="1:50" ht="14.5" x14ac:dyDescent="0.35">
      <c r="A177" s="68" t="s">
        <v>341</v>
      </c>
      <c r="B177" s="68" t="str">
        <f>VLOOKUP(Tabelle_Abfrage_von_MS_Access_Database[[#This Row],[LAND]],Texte!$A$4:$C$261,Texte!$A$1+1,FALSE)</f>
        <v>Syrien</v>
      </c>
      <c r="C177" s="68" t="s">
        <v>508</v>
      </c>
      <c r="D177" s="68" t="s">
        <v>557</v>
      </c>
      <c r="E177" s="69">
        <v>32159000</v>
      </c>
      <c r="F177" s="69">
        <v>52400000</v>
      </c>
      <c r="G177" s="69">
        <v>53366000</v>
      </c>
      <c r="H177" s="69">
        <v>67121000</v>
      </c>
      <c r="I177" s="69">
        <v>53187000</v>
      </c>
      <c r="J177" s="69">
        <v>64452000</v>
      </c>
      <c r="K177" s="69">
        <v>68389000</v>
      </c>
      <c r="L177" s="69">
        <v>87543000</v>
      </c>
      <c r="M177" s="69">
        <v>46670000</v>
      </c>
      <c r="N177" s="69">
        <v>37811000</v>
      </c>
      <c r="O177" s="69">
        <v>22194000</v>
      </c>
      <c r="P177" s="69">
        <v>30709000</v>
      </c>
      <c r="Q177" s="69">
        <v>33856000</v>
      </c>
      <c r="R177" s="69">
        <v>30601000</v>
      </c>
      <c r="S177" s="69">
        <v>34137000</v>
      </c>
      <c r="T177" s="69">
        <v>29865000</v>
      </c>
      <c r="U177" s="69">
        <v>35973000</v>
      </c>
      <c r="V177" s="69">
        <v>34347355</v>
      </c>
      <c r="W177" s="69">
        <v>38143411</v>
      </c>
      <c r="X177" s="69">
        <v>28848493</v>
      </c>
      <c r="Y177" s="69">
        <v>30869452</v>
      </c>
      <c r="Z177" s="69">
        <v>35586423</v>
      </c>
      <c r="AA177" s="69">
        <v>24405055</v>
      </c>
      <c r="AB177" s="69">
        <v>31104837</v>
      </c>
      <c r="AC177" s="69">
        <v>34700422</v>
      </c>
      <c r="AD177" s="69">
        <v>30904982</v>
      </c>
      <c r="AE177" s="69">
        <v>30800255</v>
      </c>
      <c r="AF177" s="69">
        <v>62464356</v>
      </c>
      <c r="AG177" s="69">
        <v>35161209</v>
      </c>
      <c r="AH177" s="69">
        <v>43380266</v>
      </c>
      <c r="AI177" s="69">
        <v>63496422</v>
      </c>
      <c r="AJ177" s="69">
        <v>49665687</v>
      </c>
      <c r="AK177" s="69">
        <v>44394292</v>
      </c>
      <c r="AL177" s="69">
        <v>59166206</v>
      </c>
      <c r="AM177" s="69">
        <v>18834506</v>
      </c>
      <c r="AN177" s="69">
        <v>6018308</v>
      </c>
      <c r="AO177" s="69">
        <v>5110614</v>
      </c>
      <c r="AP177" s="69">
        <v>7308795</v>
      </c>
      <c r="AQ177" s="69">
        <v>4225476</v>
      </c>
      <c r="AR177" s="69">
        <v>7629338</v>
      </c>
      <c r="AS177" s="69">
        <v>9650984</v>
      </c>
      <c r="AT177" s="69">
        <v>9378042</v>
      </c>
      <c r="AU177" s="69">
        <v>3482901</v>
      </c>
      <c r="AV177">
        <v>5317240</v>
      </c>
      <c r="AW177">
        <v>7129381</v>
      </c>
      <c r="AX177">
        <v>5084307</v>
      </c>
    </row>
    <row r="178" spans="1:50" ht="14.5" x14ac:dyDescent="0.35">
      <c r="A178" s="68" t="s">
        <v>343</v>
      </c>
      <c r="B178" s="68" t="str">
        <f>VLOOKUP(Tabelle_Abfrage_von_MS_Access_Database[[#This Row],[LAND]],Texte!$A$4:$C$261,Texte!$A$1+1,FALSE)</f>
        <v>Irak</v>
      </c>
      <c r="C178" s="68" t="s">
        <v>508</v>
      </c>
      <c r="D178" s="68" t="s">
        <v>557</v>
      </c>
      <c r="E178" s="69">
        <v>89430000</v>
      </c>
      <c r="F178" s="69">
        <v>133372000</v>
      </c>
      <c r="G178" s="69">
        <v>163029000</v>
      </c>
      <c r="H178" s="69">
        <v>285323000</v>
      </c>
      <c r="I178" s="69">
        <v>324023000</v>
      </c>
      <c r="J178" s="69">
        <v>184258000</v>
      </c>
      <c r="K178" s="69">
        <v>235206000</v>
      </c>
      <c r="L178" s="69">
        <v>306288000</v>
      </c>
      <c r="M178" s="69">
        <v>164484000</v>
      </c>
      <c r="N178" s="69">
        <v>88047000</v>
      </c>
      <c r="O178" s="69">
        <v>146877000</v>
      </c>
      <c r="P178" s="69">
        <v>147333000</v>
      </c>
      <c r="Q178" s="69">
        <v>82957000</v>
      </c>
      <c r="R178" s="69">
        <v>0</v>
      </c>
      <c r="S178" s="69">
        <v>0</v>
      </c>
      <c r="T178" s="69">
        <v>0</v>
      </c>
      <c r="U178" s="69">
        <v>0</v>
      </c>
      <c r="V178" s="69">
        <v>303991</v>
      </c>
      <c r="W178" s="69">
        <v>121291</v>
      </c>
      <c r="X178" s="69">
        <v>1325407</v>
      </c>
      <c r="Y178" s="69">
        <v>8684258</v>
      </c>
      <c r="Z178" s="69">
        <v>11579327</v>
      </c>
      <c r="AA178" s="69">
        <v>31117198</v>
      </c>
      <c r="AB178" s="69">
        <v>85633274</v>
      </c>
      <c r="AC178" s="69">
        <v>88680399</v>
      </c>
      <c r="AD178" s="69">
        <v>19771355</v>
      </c>
      <c r="AE178" s="69">
        <v>40879189</v>
      </c>
      <c r="AF178" s="69">
        <v>39280949</v>
      </c>
      <c r="AG178" s="69">
        <v>28435089</v>
      </c>
      <c r="AH178" s="69">
        <v>39375960</v>
      </c>
      <c r="AI178" s="69">
        <v>43422694</v>
      </c>
      <c r="AJ178" s="69">
        <v>79864098</v>
      </c>
      <c r="AK178" s="69">
        <v>103438666</v>
      </c>
      <c r="AL178" s="69">
        <v>192946192</v>
      </c>
      <c r="AM178" s="69">
        <v>183917992</v>
      </c>
      <c r="AN178" s="69">
        <v>147550700</v>
      </c>
      <c r="AO178" s="69">
        <v>73594937</v>
      </c>
      <c r="AP178" s="69">
        <v>140967107</v>
      </c>
      <c r="AQ178" s="69">
        <v>93213927</v>
      </c>
      <c r="AR178" s="69">
        <v>83589716</v>
      </c>
      <c r="AS178" s="69">
        <v>68102981</v>
      </c>
      <c r="AT178" s="69">
        <v>72766340</v>
      </c>
      <c r="AU178" s="69">
        <v>61819426</v>
      </c>
      <c r="AV178">
        <v>75362889</v>
      </c>
      <c r="AW178">
        <v>94499928</v>
      </c>
      <c r="AX178">
        <v>101997942</v>
      </c>
    </row>
    <row r="179" spans="1:50" ht="14.5" x14ac:dyDescent="0.35">
      <c r="A179" s="68" t="s">
        <v>345</v>
      </c>
      <c r="B179" s="68" t="str">
        <f>VLOOKUP(Tabelle_Abfrage_von_MS_Access_Database[[#This Row],[LAND]],Texte!$A$4:$C$261,Texte!$A$1+1,FALSE)</f>
        <v>Iran</v>
      </c>
      <c r="C179" s="68" t="s">
        <v>508</v>
      </c>
      <c r="D179" s="68" t="s">
        <v>557</v>
      </c>
      <c r="E179" s="69">
        <v>127696000</v>
      </c>
      <c r="F179" s="69">
        <v>66770000</v>
      </c>
      <c r="G179" s="69">
        <v>202469000</v>
      </c>
      <c r="H179" s="69">
        <v>212696000</v>
      </c>
      <c r="I179" s="69">
        <v>167622000</v>
      </c>
      <c r="J179" s="69">
        <v>358365000</v>
      </c>
      <c r="K179" s="69">
        <v>288304000</v>
      </c>
      <c r="L179" s="69">
        <v>261814000</v>
      </c>
      <c r="M179" s="69">
        <v>145270000</v>
      </c>
      <c r="N179" s="69">
        <v>125984000</v>
      </c>
      <c r="O179" s="69">
        <v>140162000</v>
      </c>
      <c r="P179" s="69">
        <v>174934000</v>
      </c>
      <c r="Q179" s="69">
        <v>276848000</v>
      </c>
      <c r="R179" s="69">
        <v>318617000</v>
      </c>
      <c r="S179" s="69">
        <v>306280000</v>
      </c>
      <c r="T179" s="69">
        <v>244657000</v>
      </c>
      <c r="U179" s="69">
        <v>198726000</v>
      </c>
      <c r="V179" s="69">
        <v>127100339</v>
      </c>
      <c r="W179" s="69">
        <v>158475397</v>
      </c>
      <c r="X179" s="69">
        <v>240725418</v>
      </c>
      <c r="Y179" s="69">
        <v>203051171</v>
      </c>
      <c r="Z179" s="69">
        <v>213988370</v>
      </c>
      <c r="AA179" s="69">
        <v>175508815</v>
      </c>
      <c r="AB179" s="69">
        <v>247786856</v>
      </c>
      <c r="AC179" s="69">
        <v>221592274</v>
      </c>
      <c r="AD179" s="69">
        <v>311919377</v>
      </c>
      <c r="AE179" s="69">
        <v>347065716</v>
      </c>
      <c r="AF179" s="69">
        <v>401748494</v>
      </c>
      <c r="AG179" s="69">
        <v>339147870</v>
      </c>
      <c r="AH179" s="69">
        <v>314591826</v>
      </c>
      <c r="AI179" s="69">
        <v>303337012</v>
      </c>
      <c r="AJ179" s="69">
        <v>324985507</v>
      </c>
      <c r="AK179" s="69">
        <v>345227150</v>
      </c>
      <c r="AL179" s="69">
        <v>288164877</v>
      </c>
      <c r="AM179" s="69">
        <v>218661671</v>
      </c>
      <c r="AN179" s="69">
        <v>183916202</v>
      </c>
      <c r="AO179" s="69">
        <v>213116644</v>
      </c>
      <c r="AP179" s="69">
        <v>248155254</v>
      </c>
      <c r="AQ179" s="69">
        <v>276258593</v>
      </c>
      <c r="AR179" s="69">
        <v>301684750</v>
      </c>
      <c r="AS179" s="69">
        <v>268272558</v>
      </c>
      <c r="AT179" s="69">
        <v>129840687</v>
      </c>
      <c r="AU179" s="69">
        <v>100184875</v>
      </c>
      <c r="AV179">
        <v>117804402</v>
      </c>
      <c r="AW179">
        <v>155503256</v>
      </c>
      <c r="AX179">
        <v>158980095</v>
      </c>
    </row>
    <row r="180" spans="1:50" ht="14.5" x14ac:dyDescent="0.35">
      <c r="A180" s="68" t="s">
        <v>347</v>
      </c>
      <c r="B180" s="68" t="str">
        <f>VLOOKUP(Tabelle_Abfrage_von_MS_Access_Database[[#This Row],[LAND]],Texte!$A$4:$C$261,Texte!$A$1+1,FALSE)</f>
        <v>Israel</v>
      </c>
      <c r="C180" s="68" t="s">
        <v>508</v>
      </c>
      <c r="D180" s="68" t="s">
        <v>557</v>
      </c>
      <c r="E180" s="69">
        <v>24925000</v>
      </c>
      <c r="F180" s="69">
        <v>33061000</v>
      </c>
      <c r="G180" s="69">
        <v>27247000</v>
      </c>
      <c r="H180" s="69">
        <v>39645000</v>
      </c>
      <c r="I180" s="69">
        <v>40081000</v>
      </c>
      <c r="J180" s="69">
        <v>51770000</v>
      </c>
      <c r="K180" s="69">
        <v>45322000</v>
      </c>
      <c r="L180" s="69">
        <v>69161000</v>
      </c>
      <c r="M180" s="69">
        <v>64002000</v>
      </c>
      <c r="N180" s="69">
        <v>51250000</v>
      </c>
      <c r="O180" s="69">
        <v>45555000</v>
      </c>
      <c r="P180" s="69">
        <v>43411000</v>
      </c>
      <c r="Q180" s="69">
        <v>48299000</v>
      </c>
      <c r="R180" s="69">
        <v>50706000</v>
      </c>
      <c r="S180" s="69">
        <v>70655000</v>
      </c>
      <c r="T180" s="69">
        <v>86059000</v>
      </c>
      <c r="U180" s="69">
        <v>102013000</v>
      </c>
      <c r="V180" s="69">
        <v>96579791</v>
      </c>
      <c r="W180" s="69">
        <v>104513060</v>
      </c>
      <c r="X180" s="69">
        <v>115979148</v>
      </c>
      <c r="Y180" s="69">
        <v>133840041</v>
      </c>
      <c r="Z180" s="69">
        <v>125362010</v>
      </c>
      <c r="AA180" s="69">
        <v>140026591</v>
      </c>
      <c r="AB180" s="69">
        <v>138837285</v>
      </c>
      <c r="AC180" s="69">
        <v>142257545</v>
      </c>
      <c r="AD180" s="69">
        <v>116489847</v>
      </c>
      <c r="AE180" s="69">
        <v>142706221</v>
      </c>
      <c r="AF180" s="69">
        <v>134492413</v>
      </c>
      <c r="AG180" s="69">
        <v>151299263</v>
      </c>
      <c r="AH180" s="69">
        <v>207826891</v>
      </c>
      <c r="AI180" s="69">
        <v>278764272</v>
      </c>
      <c r="AJ180" s="69">
        <v>203377707</v>
      </c>
      <c r="AK180" s="69">
        <v>210185463</v>
      </c>
      <c r="AL180" s="69">
        <v>291119557</v>
      </c>
      <c r="AM180" s="69">
        <v>228080195</v>
      </c>
      <c r="AN180" s="69">
        <v>261359369</v>
      </c>
      <c r="AO180" s="69">
        <v>278757952</v>
      </c>
      <c r="AP180" s="69">
        <v>342178547</v>
      </c>
      <c r="AQ180" s="69">
        <v>331271125</v>
      </c>
      <c r="AR180" s="69">
        <v>398636086</v>
      </c>
      <c r="AS180" s="69">
        <v>371991353</v>
      </c>
      <c r="AT180" s="69">
        <v>406834163</v>
      </c>
      <c r="AU180" s="69">
        <v>404895256</v>
      </c>
      <c r="AV180">
        <v>458617919</v>
      </c>
      <c r="AW180">
        <v>557060988</v>
      </c>
      <c r="AX180">
        <v>540153627</v>
      </c>
    </row>
    <row r="181" spans="1:50" ht="14.5" x14ac:dyDescent="0.35">
      <c r="A181" s="68" t="s">
        <v>349</v>
      </c>
      <c r="B181" s="68" t="str">
        <f>VLOOKUP(Tabelle_Abfrage_von_MS_Access_Database[[#This Row],[LAND]],Texte!$A$4:$C$261,Texte!$A$1+1,FALSE)</f>
        <v>Besetzte palästin.Gebiete</v>
      </c>
      <c r="C181" s="68" t="s">
        <v>525</v>
      </c>
      <c r="D181" s="68" t="s">
        <v>557</v>
      </c>
      <c r="E181" s="69">
        <v>0</v>
      </c>
      <c r="F181" s="69">
        <v>0</v>
      </c>
      <c r="G181" s="69">
        <v>0</v>
      </c>
      <c r="H181" s="69">
        <v>0</v>
      </c>
      <c r="I181" s="69">
        <v>0</v>
      </c>
      <c r="J181" s="69">
        <v>0</v>
      </c>
      <c r="K181" s="69">
        <v>0</v>
      </c>
      <c r="L181" s="69">
        <v>0</v>
      </c>
      <c r="M181" s="69">
        <v>0</v>
      </c>
      <c r="N181" s="69">
        <v>0</v>
      </c>
      <c r="O181" s="69">
        <v>0</v>
      </c>
      <c r="P181" s="69">
        <v>0</v>
      </c>
      <c r="Q181" s="69">
        <v>0</v>
      </c>
      <c r="R181" s="69">
        <v>0</v>
      </c>
      <c r="S181" s="69">
        <v>0</v>
      </c>
      <c r="T181" s="69">
        <v>0</v>
      </c>
      <c r="U181" s="69">
        <v>0</v>
      </c>
      <c r="V181" s="69">
        <v>0</v>
      </c>
      <c r="W181" s="69">
        <v>0</v>
      </c>
      <c r="X181" s="69">
        <v>1089728</v>
      </c>
      <c r="Y181" s="69">
        <v>327246</v>
      </c>
      <c r="Z181" s="69">
        <v>4919369</v>
      </c>
      <c r="AA181" s="69">
        <v>119111</v>
      </c>
      <c r="AB181" s="69">
        <v>22875</v>
      </c>
      <c r="AC181" s="69">
        <v>76278</v>
      </c>
      <c r="AD181" s="69">
        <v>104154</v>
      </c>
      <c r="AE181" s="69">
        <v>1438877</v>
      </c>
      <c r="AF181" s="69">
        <v>1005963</v>
      </c>
      <c r="AG181" s="69">
        <v>744853</v>
      </c>
      <c r="AH181" s="69">
        <v>706492</v>
      </c>
      <c r="AI181" s="69">
        <v>648974</v>
      </c>
      <c r="AJ181" s="69">
        <v>683423</v>
      </c>
      <c r="AK181" s="69">
        <v>1983426</v>
      </c>
      <c r="AL181" s="69">
        <v>1333567</v>
      </c>
      <c r="AM181" s="69">
        <v>888263</v>
      </c>
      <c r="AN181" s="69">
        <v>1648145</v>
      </c>
      <c r="AO181" s="69">
        <v>1563471</v>
      </c>
      <c r="AP181" s="69">
        <v>4291527</v>
      </c>
      <c r="AQ181" s="69">
        <v>1738530</v>
      </c>
      <c r="AR181" s="69">
        <v>3623649</v>
      </c>
      <c r="AS181" s="69">
        <v>2004082</v>
      </c>
      <c r="AT181" s="69">
        <v>5791800</v>
      </c>
      <c r="AU181" s="69">
        <v>1786494</v>
      </c>
      <c r="AV181">
        <v>3147122</v>
      </c>
      <c r="AW181">
        <v>2440396</v>
      </c>
      <c r="AX181">
        <v>3649950</v>
      </c>
    </row>
    <row r="182" spans="1:50" ht="14.5" x14ac:dyDescent="0.35">
      <c r="A182" s="68" t="s">
        <v>351</v>
      </c>
      <c r="B182" s="68" t="str">
        <f>VLOOKUP(Tabelle_Abfrage_von_MS_Access_Database[[#This Row],[LAND]],Texte!$A$4:$C$261,Texte!$A$1+1,FALSE)</f>
        <v>Timor-Leste</v>
      </c>
      <c r="C182" s="68" t="s">
        <v>508</v>
      </c>
      <c r="D182" s="68" t="s">
        <v>557</v>
      </c>
      <c r="E182" s="69">
        <v>48000</v>
      </c>
      <c r="F182" s="69">
        <v>0</v>
      </c>
      <c r="G182" s="69">
        <v>0</v>
      </c>
      <c r="H182" s="69">
        <v>0</v>
      </c>
      <c r="I182" s="69">
        <v>60000</v>
      </c>
      <c r="J182" s="69">
        <v>16000</v>
      </c>
      <c r="K182" s="69">
        <v>7000</v>
      </c>
      <c r="L182" s="69">
        <v>19000</v>
      </c>
      <c r="M182" s="69">
        <v>0</v>
      </c>
      <c r="N182" s="69">
        <v>0</v>
      </c>
      <c r="O182" s="69">
        <v>0</v>
      </c>
      <c r="P182" s="69">
        <v>0</v>
      </c>
      <c r="Q182" s="69">
        <v>0</v>
      </c>
      <c r="R182" s="69">
        <v>0</v>
      </c>
      <c r="S182" s="69">
        <v>0</v>
      </c>
      <c r="T182" s="69">
        <v>0</v>
      </c>
      <c r="U182" s="69">
        <v>0</v>
      </c>
      <c r="V182" s="70"/>
      <c r="W182" s="70"/>
      <c r="X182" s="70"/>
      <c r="Y182" s="70"/>
      <c r="Z182" s="70"/>
      <c r="AA182" s="70"/>
      <c r="AB182" s="69">
        <v>0</v>
      </c>
      <c r="AC182" s="69">
        <v>3754</v>
      </c>
      <c r="AD182" s="69">
        <v>168360</v>
      </c>
      <c r="AE182" s="69">
        <v>182329</v>
      </c>
      <c r="AF182" s="69">
        <v>69890</v>
      </c>
      <c r="AG182" s="69">
        <v>73</v>
      </c>
      <c r="AH182" s="69">
        <v>9980</v>
      </c>
      <c r="AI182" s="69">
        <v>15173</v>
      </c>
      <c r="AJ182" s="69">
        <v>37147</v>
      </c>
      <c r="AK182" s="69">
        <v>94787</v>
      </c>
      <c r="AL182" s="69">
        <v>55206</v>
      </c>
      <c r="AM182" s="69">
        <v>17045</v>
      </c>
      <c r="AN182" s="70"/>
      <c r="AO182" s="69">
        <v>2428</v>
      </c>
      <c r="AP182" s="69">
        <v>23935</v>
      </c>
      <c r="AQ182" s="70"/>
      <c r="AR182" s="69">
        <v>788211</v>
      </c>
      <c r="AS182" s="69">
        <v>1181479</v>
      </c>
      <c r="AT182" s="69">
        <v>130711</v>
      </c>
      <c r="AU182" s="69">
        <v>192331</v>
      </c>
      <c r="AV182">
        <v>105638</v>
      </c>
      <c r="AW182">
        <v>938711</v>
      </c>
      <c r="AX182">
        <v>344255</v>
      </c>
    </row>
    <row r="183" spans="1:50" ht="14.5" x14ac:dyDescent="0.35">
      <c r="A183" s="68" t="s">
        <v>353</v>
      </c>
      <c r="B183" s="68" t="str">
        <f>VLOOKUP(Tabelle_Abfrage_von_MS_Access_Database[[#This Row],[LAND]],Texte!$A$4:$C$261,Texte!$A$1+1,FALSE)</f>
        <v>Jordanien</v>
      </c>
      <c r="C183" s="68" t="s">
        <v>508</v>
      </c>
      <c r="D183" s="68" t="s">
        <v>557</v>
      </c>
      <c r="E183" s="69">
        <v>10758000</v>
      </c>
      <c r="F183" s="69">
        <v>19636000</v>
      </c>
      <c r="G183" s="69">
        <v>30110000</v>
      </c>
      <c r="H183" s="69">
        <v>36649000</v>
      </c>
      <c r="I183" s="69">
        <v>44254000</v>
      </c>
      <c r="J183" s="69">
        <v>26068000</v>
      </c>
      <c r="K183" s="69">
        <v>32983000</v>
      </c>
      <c r="L183" s="69">
        <v>51662000</v>
      </c>
      <c r="M183" s="69">
        <v>20076000</v>
      </c>
      <c r="N183" s="69">
        <v>25127000</v>
      </c>
      <c r="O183" s="69">
        <v>29933000</v>
      </c>
      <c r="P183" s="69">
        <v>18927000</v>
      </c>
      <c r="Q183" s="69">
        <v>15611000</v>
      </c>
      <c r="R183" s="69">
        <v>31898000</v>
      </c>
      <c r="S183" s="69">
        <v>25150000</v>
      </c>
      <c r="T183" s="69">
        <v>22024000</v>
      </c>
      <c r="U183" s="69">
        <v>24623000</v>
      </c>
      <c r="V183" s="69">
        <v>24944653</v>
      </c>
      <c r="W183" s="69">
        <v>15858731</v>
      </c>
      <c r="X183" s="69">
        <v>15773423</v>
      </c>
      <c r="Y183" s="69">
        <v>17087351</v>
      </c>
      <c r="Z183" s="69">
        <v>41979684</v>
      </c>
      <c r="AA183" s="69">
        <v>29400666</v>
      </c>
      <c r="AB183" s="69">
        <v>28997245</v>
      </c>
      <c r="AC183" s="69">
        <v>31997385</v>
      </c>
      <c r="AD183" s="69">
        <v>23479726</v>
      </c>
      <c r="AE183" s="69">
        <v>29391052</v>
      </c>
      <c r="AF183" s="69">
        <v>32037016</v>
      </c>
      <c r="AG183" s="69">
        <v>35985229</v>
      </c>
      <c r="AH183" s="69">
        <v>49236109</v>
      </c>
      <c r="AI183" s="69">
        <v>57683716</v>
      </c>
      <c r="AJ183" s="69">
        <v>50091664</v>
      </c>
      <c r="AK183" s="69">
        <v>56865899</v>
      </c>
      <c r="AL183" s="69">
        <v>55906979</v>
      </c>
      <c r="AM183" s="69">
        <v>56958789</v>
      </c>
      <c r="AN183" s="69">
        <v>59737591</v>
      </c>
      <c r="AO183" s="69">
        <v>69476366</v>
      </c>
      <c r="AP183" s="69">
        <v>65308860</v>
      </c>
      <c r="AQ183" s="69">
        <v>58067184</v>
      </c>
      <c r="AR183" s="69">
        <v>51185252</v>
      </c>
      <c r="AS183" s="69">
        <v>35900419</v>
      </c>
      <c r="AT183" s="69">
        <v>44917401</v>
      </c>
      <c r="AU183" s="69">
        <v>39356553</v>
      </c>
      <c r="AV183">
        <v>43630350</v>
      </c>
      <c r="AW183">
        <v>46557666</v>
      </c>
      <c r="AX183">
        <v>47578444</v>
      </c>
    </row>
    <row r="184" spans="1:50" ht="14.5" x14ac:dyDescent="0.35">
      <c r="A184" s="68" t="s">
        <v>355</v>
      </c>
      <c r="B184" s="68" t="str">
        <f>VLOOKUP(Tabelle_Abfrage_von_MS_Access_Database[[#This Row],[LAND]],Texte!$A$4:$C$261,Texte!$A$1+1,FALSE)</f>
        <v>Saudi-Arabien</v>
      </c>
      <c r="C184" s="68" t="s">
        <v>508</v>
      </c>
      <c r="D184" s="68" t="s">
        <v>557</v>
      </c>
      <c r="E184" s="69">
        <v>112575000</v>
      </c>
      <c r="F184" s="69">
        <v>87499000</v>
      </c>
      <c r="G184" s="69">
        <v>93660000</v>
      </c>
      <c r="H184" s="69">
        <v>189381000</v>
      </c>
      <c r="I184" s="69">
        <v>320801000</v>
      </c>
      <c r="J184" s="69">
        <v>369816000</v>
      </c>
      <c r="K184" s="69">
        <v>321114000</v>
      </c>
      <c r="L184" s="69">
        <v>274023000</v>
      </c>
      <c r="M184" s="69">
        <v>192061000</v>
      </c>
      <c r="N184" s="69">
        <v>107764000</v>
      </c>
      <c r="O184" s="69">
        <v>152962000</v>
      </c>
      <c r="P184" s="69">
        <v>115965000</v>
      </c>
      <c r="Q184" s="69">
        <v>142794000</v>
      </c>
      <c r="R184" s="69">
        <v>222537000</v>
      </c>
      <c r="S184" s="69">
        <v>246325000</v>
      </c>
      <c r="T184" s="69">
        <v>184830000</v>
      </c>
      <c r="U184" s="69">
        <v>143626000</v>
      </c>
      <c r="V184" s="69">
        <v>141370003</v>
      </c>
      <c r="W184" s="69">
        <v>140271493</v>
      </c>
      <c r="X184" s="69">
        <v>155543408</v>
      </c>
      <c r="Y184" s="69">
        <v>211478955</v>
      </c>
      <c r="Z184" s="69">
        <v>147525481</v>
      </c>
      <c r="AA184" s="69">
        <v>156647365</v>
      </c>
      <c r="AB184" s="69">
        <v>168634022</v>
      </c>
      <c r="AC184" s="69">
        <v>191620523</v>
      </c>
      <c r="AD184" s="69">
        <v>220535109</v>
      </c>
      <c r="AE184" s="69">
        <v>202830550</v>
      </c>
      <c r="AF184" s="69">
        <v>301654435</v>
      </c>
      <c r="AG184" s="69">
        <v>444249276</v>
      </c>
      <c r="AH184" s="69">
        <v>431766531</v>
      </c>
      <c r="AI184" s="69">
        <v>437762129</v>
      </c>
      <c r="AJ184" s="69">
        <v>493087649</v>
      </c>
      <c r="AK184" s="69">
        <v>386656746</v>
      </c>
      <c r="AL184" s="69">
        <v>534210760</v>
      </c>
      <c r="AM184" s="69">
        <v>578289829</v>
      </c>
      <c r="AN184" s="69">
        <v>684120246</v>
      </c>
      <c r="AO184" s="69">
        <v>716666360</v>
      </c>
      <c r="AP184" s="69">
        <v>698218342</v>
      </c>
      <c r="AQ184" s="69">
        <v>578314619</v>
      </c>
      <c r="AR184" s="69">
        <v>367693371</v>
      </c>
      <c r="AS184" s="69">
        <v>343653828</v>
      </c>
      <c r="AT184" s="69">
        <v>400376066</v>
      </c>
      <c r="AU184" s="69">
        <v>395253603</v>
      </c>
      <c r="AV184">
        <v>318345004</v>
      </c>
      <c r="AW184">
        <v>480601176</v>
      </c>
      <c r="AX184">
        <v>537812159</v>
      </c>
    </row>
    <row r="185" spans="1:50" ht="14.5" x14ac:dyDescent="0.35">
      <c r="A185" s="68" t="s">
        <v>357</v>
      </c>
      <c r="B185" s="68" t="str">
        <f>VLOOKUP(Tabelle_Abfrage_von_MS_Access_Database[[#This Row],[LAND]],Texte!$A$4:$C$261,Texte!$A$1+1,FALSE)</f>
        <v>Kuwait</v>
      </c>
      <c r="C185" s="68" t="s">
        <v>508</v>
      </c>
      <c r="D185" s="68" t="s">
        <v>557</v>
      </c>
      <c r="E185" s="69">
        <v>13997000</v>
      </c>
      <c r="F185" s="69">
        <v>16164000</v>
      </c>
      <c r="G185" s="69">
        <v>15448000</v>
      </c>
      <c r="H185" s="69">
        <v>39413000</v>
      </c>
      <c r="I185" s="69">
        <v>36228000</v>
      </c>
      <c r="J185" s="69">
        <v>43596000</v>
      </c>
      <c r="K185" s="69">
        <v>48989000</v>
      </c>
      <c r="L185" s="69">
        <v>52990000</v>
      </c>
      <c r="M185" s="69">
        <v>32367000</v>
      </c>
      <c r="N185" s="69">
        <v>30577000</v>
      </c>
      <c r="O185" s="69">
        <v>29623000</v>
      </c>
      <c r="P185" s="69">
        <v>30449000</v>
      </c>
      <c r="Q185" s="69">
        <v>24109000</v>
      </c>
      <c r="R185" s="69">
        <v>17761000</v>
      </c>
      <c r="S185" s="69">
        <v>21660000</v>
      </c>
      <c r="T185" s="69">
        <v>21163000</v>
      </c>
      <c r="U185" s="69">
        <v>24583000</v>
      </c>
      <c r="V185" s="69">
        <v>37989865</v>
      </c>
      <c r="W185" s="69">
        <v>40339462</v>
      </c>
      <c r="X185" s="69">
        <v>34562973</v>
      </c>
      <c r="Y185" s="69">
        <v>25651396</v>
      </c>
      <c r="Z185" s="69">
        <v>28295083</v>
      </c>
      <c r="AA185" s="69">
        <v>29794402</v>
      </c>
      <c r="AB185" s="69">
        <v>31126427</v>
      </c>
      <c r="AC185" s="69">
        <v>42268416</v>
      </c>
      <c r="AD185" s="69">
        <v>66405107</v>
      </c>
      <c r="AE185" s="69">
        <v>57091963</v>
      </c>
      <c r="AF185" s="69">
        <v>64845406</v>
      </c>
      <c r="AG185" s="69">
        <v>85215913</v>
      </c>
      <c r="AH185" s="69">
        <v>99309270</v>
      </c>
      <c r="AI185" s="69">
        <v>100296659</v>
      </c>
      <c r="AJ185" s="69">
        <v>79700533</v>
      </c>
      <c r="AK185" s="69">
        <v>84829568</v>
      </c>
      <c r="AL185" s="69">
        <v>76028641</v>
      </c>
      <c r="AM185" s="69">
        <v>111422587</v>
      </c>
      <c r="AN185" s="69">
        <v>289842609</v>
      </c>
      <c r="AO185" s="69">
        <v>204948574</v>
      </c>
      <c r="AP185" s="69">
        <v>110626782</v>
      </c>
      <c r="AQ185" s="69">
        <v>119014084</v>
      </c>
      <c r="AR185" s="69">
        <v>85094512</v>
      </c>
      <c r="AS185" s="69">
        <v>113474242</v>
      </c>
      <c r="AT185" s="69">
        <v>88741017</v>
      </c>
      <c r="AU185" s="69">
        <v>79742374</v>
      </c>
      <c r="AV185">
        <v>66959744</v>
      </c>
      <c r="AW185">
        <v>63620059</v>
      </c>
      <c r="AX185">
        <v>66164628</v>
      </c>
    </row>
    <row r="186" spans="1:50" ht="14.5" x14ac:dyDescent="0.35">
      <c r="A186" s="68" t="s">
        <v>359</v>
      </c>
      <c r="B186" s="68" t="str">
        <f>VLOOKUP(Tabelle_Abfrage_von_MS_Access_Database[[#This Row],[LAND]],Texte!$A$4:$C$261,Texte!$A$1+1,FALSE)</f>
        <v>Bahrain</v>
      </c>
      <c r="C186" s="68" t="s">
        <v>508</v>
      </c>
      <c r="D186" s="68" t="s">
        <v>557</v>
      </c>
      <c r="E186" s="69">
        <v>2943000</v>
      </c>
      <c r="F186" s="69">
        <v>3120000</v>
      </c>
      <c r="G186" s="69">
        <v>2362000</v>
      </c>
      <c r="H186" s="69">
        <v>4119000</v>
      </c>
      <c r="I186" s="69">
        <v>6611000</v>
      </c>
      <c r="J186" s="69">
        <v>5355000</v>
      </c>
      <c r="K186" s="69">
        <v>6082000</v>
      </c>
      <c r="L186" s="69">
        <v>6885000</v>
      </c>
      <c r="M186" s="69">
        <v>3489000</v>
      </c>
      <c r="N186" s="69">
        <v>3371000</v>
      </c>
      <c r="O186" s="69">
        <v>4291000</v>
      </c>
      <c r="P186" s="69">
        <v>5605000</v>
      </c>
      <c r="Q186" s="69">
        <v>3353000</v>
      </c>
      <c r="R186" s="69">
        <v>4319000</v>
      </c>
      <c r="S186" s="69">
        <v>5822000</v>
      </c>
      <c r="T186" s="69">
        <v>3864000</v>
      </c>
      <c r="U186" s="69">
        <v>5738000</v>
      </c>
      <c r="V186" s="69">
        <v>16717877</v>
      </c>
      <c r="W186" s="69">
        <v>9612955</v>
      </c>
      <c r="X186" s="69">
        <v>8348782</v>
      </c>
      <c r="Y186" s="69">
        <v>12055978</v>
      </c>
      <c r="Z186" s="69">
        <v>11301127</v>
      </c>
      <c r="AA186" s="69">
        <v>8254543</v>
      </c>
      <c r="AB186" s="69">
        <v>15398683</v>
      </c>
      <c r="AC186" s="69">
        <v>11222060</v>
      </c>
      <c r="AD186" s="69">
        <v>19613134</v>
      </c>
      <c r="AE186" s="69">
        <v>35602859</v>
      </c>
      <c r="AF186" s="69">
        <v>21060446</v>
      </c>
      <c r="AG186" s="69">
        <v>22778177</v>
      </c>
      <c r="AH186" s="69">
        <v>31902028</v>
      </c>
      <c r="AI186" s="69">
        <v>41999342</v>
      </c>
      <c r="AJ186" s="69">
        <v>21541986</v>
      </c>
      <c r="AK186" s="69">
        <v>17933058</v>
      </c>
      <c r="AL186" s="69">
        <v>13129026</v>
      </c>
      <c r="AM186" s="69">
        <v>26343488</v>
      </c>
      <c r="AN186" s="69">
        <v>19458276</v>
      </c>
      <c r="AO186" s="69">
        <v>23157050</v>
      </c>
      <c r="AP186" s="69">
        <v>26171201</v>
      </c>
      <c r="AQ186" s="69">
        <v>27400584</v>
      </c>
      <c r="AR186" s="69">
        <v>34782436</v>
      </c>
      <c r="AS186" s="69">
        <v>44415010</v>
      </c>
      <c r="AT186" s="69">
        <v>24799486</v>
      </c>
      <c r="AU186" s="69">
        <v>20967312</v>
      </c>
      <c r="AV186">
        <v>27914401</v>
      </c>
      <c r="AW186">
        <v>33998006</v>
      </c>
      <c r="AX186">
        <v>35412660</v>
      </c>
    </row>
    <row r="187" spans="1:50" ht="14.5" x14ac:dyDescent="0.35">
      <c r="A187" s="68" t="s">
        <v>361</v>
      </c>
      <c r="B187" s="68" t="str">
        <f>VLOOKUP(Tabelle_Abfrage_von_MS_Access_Database[[#This Row],[LAND]],Texte!$A$4:$C$261,Texte!$A$1+1,FALSE)</f>
        <v>Katar</v>
      </c>
      <c r="C187" s="68" t="s">
        <v>508</v>
      </c>
      <c r="D187" s="68" t="s">
        <v>557</v>
      </c>
      <c r="E187" s="69">
        <v>5920000</v>
      </c>
      <c r="F187" s="69">
        <v>6661000</v>
      </c>
      <c r="G187" s="69">
        <v>6424000</v>
      </c>
      <c r="H187" s="69">
        <v>10278000</v>
      </c>
      <c r="I187" s="69">
        <v>9681000</v>
      </c>
      <c r="J187" s="69">
        <v>10936000</v>
      </c>
      <c r="K187" s="69">
        <v>4996000</v>
      </c>
      <c r="L187" s="69">
        <v>9680000</v>
      </c>
      <c r="M187" s="69">
        <v>6819000</v>
      </c>
      <c r="N187" s="69">
        <v>3353000</v>
      </c>
      <c r="O187" s="69">
        <v>5007000</v>
      </c>
      <c r="P187" s="69">
        <v>3474000</v>
      </c>
      <c r="Q187" s="69">
        <v>4180000</v>
      </c>
      <c r="R187" s="69">
        <v>3563000</v>
      </c>
      <c r="S187" s="69">
        <v>2915000</v>
      </c>
      <c r="T187" s="69">
        <v>4133000</v>
      </c>
      <c r="U187" s="69">
        <v>4128000</v>
      </c>
      <c r="V187" s="69">
        <v>4071202</v>
      </c>
      <c r="W187" s="69">
        <v>7869153</v>
      </c>
      <c r="X187" s="69">
        <v>8819782</v>
      </c>
      <c r="Y187" s="69">
        <v>8693417</v>
      </c>
      <c r="Z187" s="69">
        <v>6299205</v>
      </c>
      <c r="AA187" s="69">
        <v>5891796</v>
      </c>
      <c r="AB187" s="69">
        <v>8770266</v>
      </c>
      <c r="AC187" s="69">
        <v>25726530</v>
      </c>
      <c r="AD187" s="69">
        <v>13115685</v>
      </c>
      <c r="AE187" s="69">
        <v>24812076</v>
      </c>
      <c r="AF187" s="69">
        <v>32592877</v>
      </c>
      <c r="AG187" s="69">
        <v>56691637</v>
      </c>
      <c r="AH187" s="69">
        <v>75242094</v>
      </c>
      <c r="AI187" s="69">
        <v>127784005</v>
      </c>
      <c r="AJ187" s="69">
        <v>83515822</v>
      </c>
      <c r="AK187" s="69">
        <v>71969980</v>
      </c>
      <c r="AL187" s="69">
        <v>94198209</v>
      </c>
      <c r="AM187" s="69">
        <v>123858341</v>
      </c>
      <c r="AN187" s="69">
        <v>99002476</v>
      </c>
      <c r="AO187" s="69">
        <v>99263664</v>
      </c>
      <c r="AP187" s="69">
        <v>157417113</v>
      </c>
      <c r="AQ187" s="69">
        <v>138410080</v>
      </c>
      <c r="AR187" s="69">
        <v>105622988</v>
      </c>
      <c r="AS187" s="69">
        <v>116076934</v>
      </c>
      <c r="AT187" s="69">
        <v>116301124</v>
      </c>
      <c r="AU187" s="69">
        <v>75138154</v>
      </c>
      <c r="AV187">
        <v>108965757</v>
      </c>
      <c r="AW187">
        <v>106188388</v>
      </c>
      <c r="AX187">
        <v>57674990</v>
      </c>
    </row>
    <row r="188" spans="1:50" ht="14.5" x14ac:dyDescent="0.35">
      <c r="A188" s="68" t="s">
        <v>363</v>
      </c>
      <c r="B188" s="68" t="str">
        <f>VLOOKUP(Tabelle_Abfrage_von_MS_Access_Database[[#This Row],[LAND]],Texte!$A$4:$C$261,Texte!$A$1+1,FALSE)</f>
        <v>Vereinigte Arab.Emirate</v>
      </c>
      <c r="C188" s="68" t="s">
        <v>508</v>
      </c>
      <c r="D188" s="68" t="s">
        <v>557</v>
      </c>
      <c r="E188" s="69">
        <v>20180000</v>
      </c>
      <c r="F188" s="69">
        <v>23479000</v>
      </c>
      <c r="G188" s="69">
        <v>23484000</v>
      </c>
      <c r="H188" s="69">
        <v>54009000</v>
      </c>
      <c r="I188" s="69">
        <v>94394000</v>
      </c>
      <c r="J188" s="69">
        <v>67468000</v>
      </c>
      <c r="K188" s="69">
        <v>57636000</v>
      </c>
      <c r="L188" s="69">
        <v>55179000</v>
      </c>
      <c r="M188" s="69">
        <v>38452000</v>
      </c>
      <c r="N188" s="69">
        <v>25588000</v>
      </c>
      <c r="O188" s="69">
        <v>26386000</v>
      </c>
      <c r="P188" s="69">
        <v>38673000</v>
      </c>
      <c r="Q188" s="69">
        <v>39181000</v>
      </c>
      <c r="R188" s="69">
        <v>40167000</v>
      </c>
      <c r="S188" s="69">
        <v>42647000</v>
      </c>
      <c r="T188" s="69">
        <v>50154000</v>
      </c>
      <c r="U188" s="69">
        <v>49059000</v>
      </c>
      <c r="V188" s="69">
        <v>73989067</v>
      </c>
      <c r="W188" s="69">
        <v>87042189</v>
      </c>
      <c r="X188" s="69">
        <v>95452001</v>
      </c>
      <c r="Y188" s="69">
        <v>113112273</v>
      </c>
      <c r="Z188" s="69">
        <v>130502084</v>
      </c>
      <c r="AA188" s="69">
        <v>120654615</v>
      </c>
      <c r="AB188" s="69">
        <v>316916954</v>
      </c>
      <c r="AC188" s="69">
        <v>182359779</v>
      </c>
      <c r="AD188" s="69">
        <v>188362424</v>
      </c>
      <c r="AE188" s="69">
        <v>213081173</v>
      </c>
      <c r="AF188" s="69">
        <v>271697177</v>
      </c>
      <c r="AG188" s="69">
        <v>403440104</v>
      </c>
      <c r="AH188" s="69">
        <v>501650554</v>
      </c>
      <c r="AI188" s="69">
        <v>620179663</v>
      </c>
      <c r="AJ188" s="69">
        <v>427871673</v>
      </c>
      <c r="AK188" s="69">
        <v>490097162</v>
      </c>
      <c r="AL188" s="69">
        <v>517780569</v>
      </c>
      <c r="AM188" s="69">
        <v>579450768</v>
      </c>
      <c r="AN188" s="69">
        <v>640531412</v>
      </c>
      <c r="AO188" s="69">
        <v>680000162</v>
      </c>
      <c r="AP188" s="69">
        <v>778862644</v>
      </c>
      <c r="AQ188" s="69">
        <v>639575161</v>
      </c>
      <c r="AR188" s="69">
        <v>610469738</v>
      </c>
      <c r="AS188" s="69">
        <v>554139926</v>
      </c>
      <c r="AT188" s="69">
        <v>477796190</v>
      </c>
      <c r="AU188" s="69">
        <v>460878925</v>
      </c>
      <c r="AV188">
        <v>537604644</v>
      </c>
      <c r="AW188">
        <v>532431605</v>
      </c>
      <c r="AX188">
        <v>657695284</v>
      </c>
    </row>
    <row r="189" spans="1:50" ht="14.5" x14ac:dyDescent="0.35">
      <c r="A189" s="68" t="s">
        <v>365</v>
      </c>
      <c r="B189" s="68" t="str">
        <f>VLOOKUP(Tabelle_Abfrage_von_MS_Access_Database[[#This Row],[LAND]],Texte!$A$4:$C$261,Texte!$A$1+1,FALSE)</f>
        <v>Oman</v>
      </c>
      <c r="C189" s="68" t="s">
        <v>508</v>
      </c>
      <c r="D189" s="68" t="s">
        <v>557</v>
      </c>
      <c r="E189" s="69">
        <v>2147000</v>
      </c>
      <c r="F189" s="69">
        <v>1639000</v>
      </c>
      <c r="G189" s="69">
        <v>2476000</v>
      </c>
      <c r="H189" s="69">
        <v>8091000</v>
      </c>
      <c r="I189" s="69">
        <v>8584000</v>
      </c>
      <c r="J189" s="69">
        <v>10821000</v>
      </c>
      <c r="K189" s="69">
        <v>13397000</v>
      </c>
      <c r="L189" s="69">
        <v>21109000</v>
      </c>
      <c r="M189" s="69">
        <v>13528000</v>
      </c>
      <c r="N189" s="69">
        <v>5139000</v>
      </c>
      <c r="O189" s="69">
        <v>5954000</v>
      </c>
      <c r="P189" s="69">
        <v>5457000</v>
      </c>
      <c r="Q189" s="69">
        <v>5675000</v>
      </c>
      <c r="R189" s="69">
        <v>7250000</v>
      </c>
      <c r="S189" s="69">
        <v>8772000</v>
      </c>
      <c r="T189" s="69">
        <v>15491000</v>
      </c>
      <c r="U189" s="69">
        <v>9641000</v>
      </c>
      <c r="V189" s="69">
        <v>10182759</v>
      </c>
      <c r="W189" s="69">
        <v>11092785</v>
      </c>
      <c r="X189" s="69">
        <v>12764396</v>
      </c>
      <c r="Y189" s="69">
        <v>13577317</v>
      </c>
      <c r="Z189" s="69">
        <v>10693004</v>
      </c>
      <c r="AA189" s="69">
        <v>12595876</v>
      </c>
      <c r="AB189" s="69">
        <v>31010680</v>
      </c>
      <c r="AC189" s="69">
        <v>15827083</v>
      </c>
      <c r="AD189" s="69">
        <v>25741413</v>
      </c>
      <c r="AE189" s="69">
        <v>42093921</v>
      </c>
      <c r="AF189" s="69">
        <v>42211722</v>
      </c>
      <c r="AG189" s="69">
        <v>48216714</v>
      </c>
      <c r="AH189" s="69">
        <v>74829353</v>
      </c>
      <c r="AI189" s="69">
        <v>69413613</v>
      </c>
      <c r="AJ189" s="69">
        <v>57326694</v>
      </c>
      <c r="AK189" s="69">
        <v>64135363</v>
      </c>
      <c r="AL189" s="69">
        <v>57550528</v>
      </c>
      <c r="AM189" s="69">
        <v>75572571</v>
      </c>
      <c r="AN189" s="69">
        <v>79369214</v>
      </c>
      <c r="AO189" s="69">
        <v>101140151</v>
      </c>
      <c r="AP189" s="69">
        <v>109997048</v>
      </c>
      <c r="AQ189" s="69">
        <v>88624807</v>
      </c>
      <c r="AR189" s="69">
        <v>88692560</v>
      </c>
      <c r="AS189" s="69">
        <v>59176040</v>
      </c>
      <c r="AT189" s="69">
        <v>53262989</v>
      </c>
      <c r="AU189" s="69">
        <v>63297372</v>
      </c>
      <c r="AV189">
        <v>46790461</v>
      </c>
      <c r="AW189">
        <v>41646249</v>
      </c>
      <c r="AX189">
        <v>58443957</v>
      </c>
    </row>
    <row r="190" spans="1:50" ht="14.5" x14ac:dyDescent="0.35">
      <c r="A190" s="68" t="s">
        <v>367</v>
      </c>
      <c r="B190" s="68" t="str">
        <f>VLOOKUP(Tabelle_Abfrage_von_MS_Access_Database[[#This Row],[LAND]],Texte!$A$4:$C$261,Texte!$A$1+1,FALSE)</f>
        <v>Jemen</v>
      </c>
      <c r="C190" s="68" t="s">
        <v>508</v>
      </c>
      <c r="D190" s="68" t="s">
        <v>557</v>
      </c>
      <c r="E190" s="69">
        <v>10056000</v>
      </c>
      <c r="F190" s="69">
        <v>11998000</v>
      </c>
      <c r="G190" s="69">
        <v>16071000</v>
      </c>
      <c r="H190" s="69">
        <v>26050000</v>
      </c>
      <c r="I190" s="69">
        <v>20126000</v>
      </c>
      <c r="J190" s="69">
        <v>21988000</v>
      </c>
      <c r="K190" s="69">
        <v>25704000</v>
      </c>
      <c r="L190" s="69">
        <v>37639000</v>
      </c>
      <c r="M190" s="69">
        <v>20134000</v>
      </c>
      <c r="N190" s="69">
        <v>11043000</v>
      </c>
      <c r="O190" s="69">
        <v>12422000</v>
      </c>
      <c r="P190" s="69">
        <v>10698000</v>
      </c>
      <c r="Q190" s="69">
        <v>11168000</v>
      </c>
      <c r="R190" s="69">
        <v>10132000</v>
      </c>
      <c r="S190" s="69">
        <v>6258000</v>
      </c>
      <c r="T190" s="69">
        <v>6778000</v>
      </c>
      <c r="U190" s="69">
        <v>3239000</v>
      </c>
      <c r="V190" s="69">
        <v>3748319</v>
      </c>
      <c r="W190" s="69">
        <v>4628823</v>
      </c>
      <c r="X190" s="69">
        <v>5839402</v>
      </c>
      <c r="Y190" s="69">
        <v>4237337</v>
      </c>
      <c r="Z190" s="69">
        <v>8200112</v>
      </c>
      <c r="AA190" s="69">
        <v>6255749</v>
      </c>
      <c r="AB190" s="69">
        <v>7010320</v>
      </c>
      <c r="AC190" s="69">
        <v>7917693</v>
      </c>
      <c r="AD190" s="69">
        <v>7230398</v>
      </c>
      <c r="AE190" s="69">
        <v>12209917</v>
      </c>
      <c r="AF190" s="69">
        <v>12550054</v>
      </c>
      <c r="AG190" s="69">
        <v>12835009</v>
      </c>
      <c r="AH190" s="69">
        <v>19937370</v>
      </c>
      <c r="AI190" s="69">
        <v>15873362</v>
      </c>
      <c r="AJ190" s="69">
        <v>16466143</v>
      </c>
      <c r="AK190" s="69">
        <v>16094566</v>
      </c>
      <c r="AL190" s="69">
        <v>9920736</v>
      </c>
      <c r="AM190" s="69">
        <v>12889466</v>
      </c>
      <c r="AN190" s="69">
        <v>17955982</v>
      </c>
      <c r="AO190" s="69">
        <v>15917095</v>
      </c>
      <c r="AP190" s="69">
        <v>9790072</v>
      </c>
      <c r="AQ190" s="69">
        <v>7967244</v>
      </c>
      <c r="AR190" s="69">
        <v>7215523</v>
      </c>
      <c r="AS190" s="69">
        <v>5626884</v>
      </c>
      <c r="AT190" s="69">
        <v>9162101</v>
      </c>
      <c r="AU190" s="69">
        <v>10893162</v>
      </c>
      <c r="AV190">
        <v>9653607</v>
      </c>
      <c r="AW190">
        <v>9062966</v>
      </c>
      <c r="AX190">
        <v>7607251</v>
      </c>
    </row>
    <row r="191" spans="1:50" ht="14.5" x14ac:dyDescent="0.35">
      <c r="A191" s="68" t="s">
        <v>369</v>
      </c>
      <c r="B191" s="68" t="str">
        <f>VLOOKUP(Tabelle_Abfrage_von_MS_Access_Database[[#This Row],[LAND]],Texte!$A$4:$C$261,Texte!$A$1+1,FALSE)</f>
        <v>Afghanistan</v>
      </c>
      <c r="C191" s="68" t="s">
        <v>508</v>
      </c>
      <c r="D191" s="68" t="s">
        <v>557</v>
      </c>
      <c r="E191" s="69">
        <v>3197000</v>
      </c>
      <c r="F191" s="69">
        <v>2536000</v>
      </c>
      <c r="G191" s="69">
        <v>671000</v>
      </c>
      <c r="H191" s="69">
        <v>1484000</v>
      </c>
      <c r="I191" s="69">
        <v>1057000</v>
      </c>
      <c r="J191" s="69">
        <v>322000</v>
      </c>
      <c r="K191" s="69">
        <v>1639000</v>
      </c>
      <c r="L191" s="69">
        <v>681000</v>
      </c>
      <c r="M191" s="69">
        <v>1241000</v>
      </c>
      <c r="N191" s="69">
        <v>595000</v>
      </c>
      <c r="O191" s="69">
        <v>334000</v>
      </c>
      <c r="P191" s="69">
        <v>169000</v>
      </c>
      <c r="Q191" s="69">
        <v>81000</v>
      </c>
      <c r="R191" s="69">
        <v>99000</v>
      </c>
      <c r="S191" s="69">
        <v>76000</v>
      </c>
      <c r="T191" s="69">
        <v>73000</v>
      </c>
      <c r="U191" s="69">
        <v>36000</v>
      </c>
      <c r="V191" s="69">
        <v>46147</v>
      </c>
      <c r="W191" s="69">
        <v>115695</v>
      </c>
      <c r="X191" s="69">
        <v>126450</v>
      </c>
      <c r="Y191" s="69">
        <v>1300118</v>
      </c>
      <c r="Z191" s="69">
        <v>693880</v>
      </c>
      <c r="AA191" s="69">
        <v>718006</v>
      </c>
      <c r="AB191" s="69">
        <v>159102</v>
      </c>
      <c r="AC191" s="69">
        <v>5716068</v>
      </c>
      <c r="AD191" s="69">
        <v>3307491</v>
      </c>
      <c r="AE191" s="69">
        <v>21237038</v>
      </c>
      <c r="AF191" s="69">
        <v>15713375</v>
      </c>
      <c r="AG191" s="69">
        <v>12276895</v>
      </c>
      <c r="AH191" s="69">
        <v>10940405</v>
      </c>
      <c r="AI191" s="69">
        <v>5569843</v>
      </c>
      <c r="AJ191" s="69">
        <v>7607740</v>
      </c>
      <c r="AK191" s="69">
        <v>14373558</v>
      </c>
      <c r="AL191" s="69">
        <v>9165279</v>
      </c>
      <c r="AM191" s="69">
        <v>13008672</v>
      </c>
      <c r="AN191" s="69">
        <v>10975071</v>
      </c>
      <c r="AO191" s="69">
        <v>20986357</v>
      </c>
      <c r="AP191" s="69">
        <v>8624202</v>
      </c>
      <c r="AQ191" s="69">
        <v>7216642</v>
      </c>
      <c r="AR191" s="69">
        <v>8545724</v>
      </c>
      <c r="AS191" s="69">
        <v>6773495</v>
      </c>
      <c r="AT191" s="69">
        <v>8337999</v>
      </c>
      <c r="AU191" s="69">
        <v>10401669</v>
      </c>
      <c r="AV191">
        <v>23207798</v>
      </c>
      <c r="AW191">
        <v>9182808</v>
      </c>
      <c r="AX191">
        <v>12195324</v>
      </c>
    </row>
    <row r="192" spans="1:50" ht="14.5" x14ac:dyDescent="0.35">
      <c r="A192" s="68" t="s">
        <v>371</v>
      </c>
      <c r="B192" s="68" t="str">
        <f>VLOOKUP(Tabelle_Abfrage_von_MS_Access_Database[[#This Row],[LAND]],Texte!$A$4:$C$261,Texte!$A$1+1,FALSE)</f>
        <v>Pakistan</v>
      </c>
      <c r="C192" s="68" t="s">
        <v>508</v>
      </c>
      <c r="D192" s="68" t="s">
        <v>557</v>
      </c>
      <c r="E192" s="69">
        <v>11666000</v>
      </c>
      <c r="F192" s="69">
        <v>11670000</v>
      </c>
      <c r="G192" s="69">
        <v>11559000</v>
      </c>
      <c r="H192" s="69">
        <v>13878000</v>
      </c>
      <c r="I192" s="69">
        <v>15580000</v>
      </c>
      <c r="J192" s="69">
        <v>16487000</v>
      </c>
      <c r="K192" s="69">
        <v>16404000</v>
      </c>
      <c r="L192" s="69">
        <v>20408000</v>
      </c>
      <c r="M192" s="69">
        <v>21458000</v>
      </c>
      <c r="N192" s="69">
        <v>13636000</v>
      </c>
      <c r="O192" s="69">
        <v>24294000</v>
      </c>
      <c r="P192" s="69">
        <v>27483000</v>
      </c>
      <c r="Q192" s="69">
        <v>34977000</v>
      </c>
      <c r="R192" s="69">
        <v>32873000</v>
      </c>
      <c r="S192" s="69">
        <v>41233000</v>
      </c>
      <c r="T192" s="69">
        <v>28183000</v>
      </c>
      <c r="U192" s="69">
        <v>25295000</v>
      </c>
      <c r="V192" s="69">
        <v>28459192</v>
      </c>
      <c r="W192" s="69">
        <v>35090220</v>
      </c>
      <c r="X192" s="69">
        <v>18049235</v>
      </c>
      <c r="Y192" s="69">
        <v>15021543</v>
      </c>
      <c r="Z192" s="69">
        <v>22909009</v>
      </c>
      <c r="AA192" s="69">
        <v>28584257</v>
      </c>
      <c r="AB192" s="69">
        <v>30188223</v>
      </c>
      <c r="AC192" s="69">
        <v>51501778</v>
      </c>
      <c r="AD192" s="69">
        <v>53212203</v>
      </c>
      <c r="AE192" s="69">
        <v>55810655</v>
      </c>
      <c r="AF192" s="69">
        <v>89588932</v>
      </c>
      <c r="AG192" s="69">
        <v>120675865</v>
      </c>
      <c r="AH192" s="69">
        <v>95584129</v>
      </c>
      <c r="AI192" s="69">
        <v>92158882</v>
      </c>
      <c r="AJ192" s="69">
        <v>135510939</v>
      </c>
      <c r="AK192" s="69">
        <v>76900909</v>
      </c>
      <c r="AL192" s="69">
        <v>89290902</v>
      </c>
      <c r="AM192" s="69">
        <v>85651971</v>
      </c>
      <c r="AN192" s="69">
        <v>68852156</v>
      </c>
      <c r="AO192" s="69">
        <v>73805094</v>
      </c>
      <c r="AP192" s="69">
        <v>113416655</v>
      </c>
      <c r="AQ192" s="69">
        <v>113927546</v>
      </c>
      <c r="AR192" s="69">
        <v>151557965</v>
      </c>
      <c r="AS192" s="69">
        <v>171957601</v>
      </c>
      <c r="AT192" s="69">
        <v>140521751</v>
      </c>
      <c r="AU192" s="69">
        <v>123665779</v>
      </c>
      <c r="AV192">
        <v>158730121</v>
      </c>
      <c r="AW192">
        <v>129354988</v>
      </c>
      <c r="AX192">
        <v>74805828</v>
      </c>
    </row>
    <row r="193" spans="1:50" ht="14.5" x14ac:dyDescent="0.35">
      <c r="A193" s="68" t="s">
        <v>373</v>
      </c>
      <c r="B193" s="68" t="str">
        <f>VLOOKUP(Tabelle_Abfrage_von_MS_Access_Database[[#This Row],[LAND]],Texte!$A$4:$C$261,Texte!$A$1+1,FALSE)</f>
        <v>Indien</v>
      </c>
      <c r="C193" s="68" t="s">
        <v>508</v>
      </c>
      <c r="D193" s="68" t="s">
        <v>557</v>
      </c>
      <c r="E193" s="69">
        <v>36317000</v>
      </c>
      <c r="F193" s="69">
        <v>32060000</v>
      </c>
      <c r="G193" s="69">
        <v>40694000</v>
      </c>
      <c r="H193" s="69">
        <v>61369000</v>
      </c>
      <c r="I193" s="69">
        <v>75595000</v>
      </c>
      <c r="J193" s="69">
        <v>51636000</v>
      </c>
      <c r="K193" s="69">
        <v>51979000</v>
      </c>
      <c r="L193" s="69">
        <v>55082000</v>
      </c>
      <c r="M193" s="69">
        <v>70074000</v>
      </c>
      <c r="N193" s="69">
        <v>73685000</v>
      </c>
      <c r="O193" s="69">
        <v>84145000</v>
      </c>
      <c r="P193" s="69">
        <v>96867000</v>
      </c>
      <c r="Q193" s="69">
        <v>103126000</v>
      </c>
      <c r="R193" s="69">
        <v>74541000</v>
      </c>
      <c r="S193" s="69">
        <v>82539000</v>
      </c>
      <c r="T193" s="69">
        <v>62922000</v>
      </c>
      <c r="U193" s="69">
        <v>64356000</v>
      </c>
      <c r="V193" s="69">
        <v>100047024</v>
      </c>
      <c r="W193" s="69">
        <v>127791264</v>
      </c>
      <c r="X193" s="69">
        <v>109313760</v>
      </c>
      <c r="Y193" s="69">
        <v>100123835</v>
      </c>
      <c r="Z193" s="69">
        <v>101524968</v>
      </c>
      <c r="AA193" s="69">
        <v>116328409</v>
      </c>
      <c r="AB193" s="69">
        <v>137341918</v>
      </c>
      <c r="AC193" s="69">
        <v>183922695</v>
      </c>
      <c r="AD193" s="69">
        <v>194180642</v>
      </c>
      <c r="AE193" s="69">
        <v>276744183</v>
      </c>
      <c r="AF193" s="69">
        <v>302003759</v>
      </c>
      <c r="AG193" s="69">
        <v>372379238</v>
      </c>
      <c r="AH193" s="69">
        <v>527541697</v>
      </c>
      <c r="AI193" s="69">
        <v>608901590</v>
      </c>
      <c r="AJ193" s="69">
        <v>560418084</v>
      </c>
      <c r="AK193" s="69">
        <v>654867002</v>
      </c>
      <c r="AL193" s="69">
        <v>817650697</v>
      </c>
      <c r="AM193" s="69">
        <v>625993811</v>
      </c>
      <c r="AN193" s="69">
        <v>648455654</v>
      </c>
      <c r="AO193" s="69">
        <v>594251745</v>
      </c>
      <c r="AP193" s="69">
        <v>700627369</v>
      </c>
      <c r="AQ193" s="69">
        <v>779345302</v>
      </c>
      <c r="AR193" s="69">
        <v>754552762</v>
      </c>
      <c r="AS193" s="69">
        <v>923528626</v>
      </c>
      <c r="AT193" s="69">
        <v>922297439</v>
      </c>
      <c r="AU193" s="69">
        <v>833389388</v>
      </c>
      <c r="AV193">
        <v>1030112591</v>
      </c>
      <c r="AW193">
        <v>1185238337</v>
      </c>
      <c r="AX193">
        <v>1277783570</v>
      </c>
    </row>
    <row r="194" spans="1:50" ht="14.5" x14ac:dyDescent="0.35">
      <c r="A194" s="68" t="s">
        <v>375</v>
      </c>
      <c r="B194" s="68" t="str">
        <f>VLOOKUP(Tabelle_Abfrage_von_MS_Access_Database[[#This Row],[LAND]],Texte!$A$4:$C$261,Texte!$A$1+1,FALSE)</f>
        <v>Bangladesch</v>
      </c>
      <c r="C194" s="68" t="s">
        <v>508</v>
      </c>
      <c r="D194" s="68" t="s">
        <v>557</v>
      </c>
      <c r="E194" s="69">
        <v>700000</v>
      </c>
      <c r="F194" s="69">
        <v>1498000</v>
      </c>
      <c r="G194" s="69">
        <v>1327000</v>
      </c>
      <c r="H194" s="69">
        <v>1905000</v>
      </c>
      <c r="I194" s="69">
        <v>1297000</v>
      </c>
      <c r="J194" s="69">
        <v>4906000</v>
      </c>
      <c r="K194" s="69">
        <v>4914000</v>
      </c>
      <c r="L194" s="69">
        <v>4333000</v>
      </c>
      <c r="M194" s="69">
        <v>6556000</v>
      </c>
      <c r="N194" s="69">
        <v>1301000</v>
      </c>
      <c r="O194" s="69">
        <v>2384000</v>
      </c>
      <c r="P194" s="69">
        <v>2600000</v>
      </c>
      <c r="Q194" s="69">
        <v>4322000</v>
      </c>
      <c r="R194" s="69">
        <v>3758000</v>
      </c>
      <c r="S194" s="69">
        <v>6101000</v>
      </c>
      <c r="T194" s="69">
        <v>4576000</v>
      </c>
      <c r="U194" s="69">
        <v>4857000</v>
      </c>
      <c r="V194" s="69">
        <v>6938660</v>
      </c>
      <c r="W194" s="69">
        <v>5371031</v>
      </c>
      <c r="X194" s="69">
        <v>6480965</v>
      </c>
      <c r="Y194" s="69">
        <v>6243401</v>
      </c>
      <c r="Z194" s="69">
        <v>6863585</v>
      </c>
      <c r="AA194" s="69">
        <v>11454178</v>
      </c>
      <c r="AB194" s="69">
        <v>12489941</v>
      </c>
      <c r="AC194" s="69">
        <v>15602333</v>
      </c>
      <c r="AD194" s="69">
        <v>13592867</v>
      </c>
      <c r="AE194" s="69">
        <v>16220456</v>
      </c>
      <c r="AF194" s="69">
        <v>10904857</v>
      </c>
      <c r="AG194" s="69">
        <v>16927137</v>
      </c>
      <c r="AH194" s="69">
        <v>11301588</v>
      </c>
      <c r="AI194" s="69">
        <v>75843993</v>
      </c>
      <c r="AJ194" s="69">
        <v>43385396</v>
      </c>
      <c r="AK194" s="69">
        <v>38071001</v>
      </c>
      <c r="AL194" s="69">
        <v>26839291</v>
      </c>
      <c r="AM194" s="69">
        <v>65237155</v>
      </c>
      <c r="AN194" s="69">
        <v>35504834</v>
      </c>
      <c r="AO194" s="69">
        <v>42040614</v>
      </c>
      <c r="AP194" s="69">
        <v>51659587</v>
      </c>
      <c r="AQ194" s="69">
        <v>78788118</v>
      </c>
      <c r="AR194" s="69">
        <v>77257692</v>
      </c>
      <c r="AS194" s="69">
        <v>76246324</v>
      </c>
      <c r="AT194" s="69">
        <v>92518171</v>
      </c>
      <c r="AU194" s="69">
        <v>81879329</v>
      </c>
      <c r="AV194">
        <v>89635041</v>
      </c>
      <c r="AW194">
        <v>79515626</v>
      </c>
      <c r="AX194">
        <v>58926826</v>
      </c>
    </row>
    <row r="195" spans="1:50" ht="14.5" x14ac:dyDescent="0.35">
      <c r="A195" s="68" t="s">
        <v>377</v>
      </c>
      <c r="B195" s="68" t="str">
        <f>VLOOKUP(Tabelle_Abfrage_von_MS_Access_Database[[#This Row],[LAND]],Texte!$A$4:$C$261,Texte!$A$1+1,FALSE)</f>
        <v>Malediven</v>
      </c>
      <c r="C195" s="68" t="s">
        <v>508</v>
      </c>
      <c r="D195" s="68" t="s">
        <v>557</v>
      </c>
      <c r="E195" s="69">
        <v>2000</v>
      </c>
      <c r="F195" s="69">
        <v>0</v>
      </c>
      <c r="G195" s="69">
        <v>22000</v>
      </c>
      <c r="H195" s="69">
        <v>1000</v>
      </c>
      <c r="I195" s="69">
        <v>0</v>
      </c>
      <c r="J195" s="69">
        <v>9000</v>
      </c>
      <c r="K195" s="69">
        <v>61000</v>
      </c>
      <c r="L195" s="69">
        <v>6000</v>
      </c>
      <c r="M195" s="69">
        <v>7000</v>
      </c>
      <c r="N195" s="69">
        <v>35000</v>
      </c>
      <c r="O195" s="69">
        <v>63000</v>
      </c>
      <c r="P195" s="69">
        <v>89000</v>
      </c>
      <c r="Q195" s="69">
        <v>129000</v>
      </c>
      <c r="R195" s="69">
        <v>205000</v>
      </c>
      <c r="S195" s="69">
        <v>45000</v>
      </c>
      <c r="T195" s="69">
        <v>245000</v>
      </c>
      <c r="U195" s="69">
        <v>62000</v>
      </c>
      <c r="V195" s="69">
        <v>74563</v>
      </c>
      <c r="W195" s="69">
        <v>60827</v>
      </c>
      <c r="X195" s="69">
        <v>98979</v>
      </c>
      <c r="Y195" s="69">
        <v>292073</v>
      </c>
      <c r="Z195" s="69">
        <v>343958</v>
      </c>
      <c r="AA195" s="69">
        <v>608777</v>
      </c>
      <c r="AB195" s="69">
        <v>708208</v>
      </c>
      <c r="AC195" s="69">
        <v>452125</v>
      </c>
      <c r="AD195" s="69">
        <v>2761195</v>
      </c>
      <c r="AE195" s="69">
        <v>1241745</v>
      </c>
      <c r="AF195" s="69">
        <v>749127</v>
      </c>
      <c r="AG195" s="69">
        <v>1525721</v>
      </c>
      <c r="AH195" s="69">
        <v>2526153</v>
      </c>
      <c r="AI195" s="69">
        <v>3845244</v>
      </c>
      <c r="AJ195" s="69">
        <v>3173289</v>
      </c>
      <c r="AK195" s="69">
        <v>3119712</v>
      </c>
      <c r="AL195" s="69">
        <v>3919977</v>
      </c>
      <c r="AM195" s="69">
        <v>3882309</v>
      </c>
      <c r="AN195" s="69">
        <v>6106923</v>
      </c>
      <c r="AO195" s="69">
        <v>5663564</v>
      </c>
      <c r="AP195" s="69">
        <v>5312890</v>
      </c>
      <c r="AQ195" s="69">
        <v>7276980</v>
      </c>
      <c r="AR195" s="69">
        <v>5557231</v>
      </c>
      <c r="AS195" s="69">
        <v>5422711</v>
      </c>
      <c r="AT195" s="69">
        <v>9815551</v>
      </c>
      <c r="AU195" s="69">
        <v>5433405</v>
      </c>
      <c r="AV195">
        <v>5012568</v>
      </c>
      <c r="AW195">
        <v>7275318</v>
      </c>
      <c r="AX195">
        <v>9405359</v>
      </c>
    </row>
    <row r="196" spans="1:50" ht="14.5" x14ac:dyDescent="0.35">
      <c r="A196" s="68" t="s">
        <v>379</v>
      </c>
      <c r="B196" s="68" t="str">
        <f>VLOOKUP(Tabelle_Abfrage_von_MS_Access_Database[[#This Row],[LAND]],Texte!$A$4:$C$261,Texte!$A$1+1,FALSE)</f>
        <v>Sri Lanka</v>
      </c>
      <c r="C196" s="68" t="s">
        <v>508</v>
      </c>
      <c r="D196" s="68" t="s">
        <v>557</v>
      </c>
      <c r="E196" s="69">
        <v>3340000</v>
      </c>
      <c r="F196" s="69">
        <v>3494000</v>
      </c>
      <c r="G196" s="69">
        <v>1974000</v>
      </c>
      <c r="H196" s="69">
        <v>2563000</v>
      </c>
      <c r="I196" s="69">
        <v>1886000</v>
      </c>
      <c r="J196" s="69">
        <v>5155000</v>
      </c>
      <c r="K196" s="69">
        <v>3814000</v>
      </c>
      <c r="L196" s="69">
        <v>5902000</v>
      </c>
      <c r="M196" s="69">
        <v>5034000</v>
      </c>
      <c r="N196" s="69">
        <v>3487000</v>
      </c>
      <c r="O196" s="69">
        <v>2668000</v>
      </c>
      <c r="P196" s="69">
        <v>2950000</v>
      </c>
      <c r="Q196" s="69">
        <v>4432000</v>
      </c>
      <c r="R196" s="69">
        <v>3007000</v>
      </c>
      <c r="S196" s="69">
        <v>3935000</v>
      </c>
      <c r="T196" s="69">
        <v>4873000</v>
      </c>
      <c r="U196" s="69">
        <v>4202000</v>
      </c>
      <c r="V196" s="69">
        <v>5795370</v>
      </c>
      <c r="W196" s="69">
        <v>7690896</v>
      </c>
      <c r="X196" s="69">
        <v>8011522</v>
      </c>
      <c r="Y196" s="69">
        <v>9357282</v>
      </c>
      <c r="Z196" s="69">
        <v>8188186</v>
      </c>
      <c r="AA196" s="69">
        <v>13300501</v>
      </c>
      <c r="AB196" s="69">
        <v>12964822</v>
      </c>
      <c r="AC196" s="69">
        <v>19196226</v>
      </c>
      <c r="AD196" s="69">
        <v>14130962</v>
      </c>
      <c r="AE196" s="69">
        <v>27536192</v>
      </c>
      <c r="AF196" s="69">
        <v>27879695</v>
      </c>
      <c r="AG196" s="69">
        <v>21188552</v>
      </c>
      <c r="AH196" s="69">
        <v>19095796</v>
      </c>
      <c r="AI196" s="69">
        <v>36244623</v>
      </c>
      <c r="AJ196" s="69">
        <v>21506372</v>
      </c>
      <c r="AK196" s="69">
        <v>17553652</v>
      </c>
      <c r="AL196" s="69">
        <v>27415797</v>
      </c>
      <c r="AM196" s="69">
        <v>22528963</v>
      </c>
      <c r="AN196" s="69">
        <v>27397023</v>
      </c>
      <c r="AO196" s="69">
        <v>38552574</v>
      </c>
      <c r="AP196" s="69">
        <v>49147002</v>
      </c>
      <c r="AQ196" s="69">
        <v>48938292</v>
      </c>
      <c r="AR196" s="69">
        <v>42535878</v>
      </c>
      <c r="AS196" s="69">
        <v>62372402</v>
      </c>
      <c r="AT196" s="69">
        <v>73730178</v>
      </c>
      <c r="AU196" s="69">
        <v>57727520</v>
      </c>
      <c r="AV196">
        <v>42082563</v>
      </c>
      <c r="AW196">
        <v>41427966</v>
      </c>
      <c r="AX196">
        <v>49739657</v>
      </c>
    </row>
    <row r="197" spans="1:50" ht="14.5" x14ac:dyDescent="0.35">
      <c r="A197" s="68" t="s">
        <v>381</v>
      </c>
      <c r="B197" s="68" t="str">
        <f>VLOOKUP(Tabelle_Abfrage_von_MS_Access_Database[[#This Row],[LAND]],Texte!$A$4:$C$261,Texte!$A$1+1,FALSE)</f>
        <v>Nepal</v>
      </c>
      <c r="C197" s="68" t="s">
        <v>508</v>
      </c>
      <c r="D197" s="68" t="s">
        <v>557</v>
      </c>
      <c r="E197" s="69">
        <v>199000</v>
      </c>
      <c r="F197" s="69">
        <v>113000</v>
      </c>
      <c r="G197" s="69">
        <v>487000</v>
      </c>
      <c r="H197" s="69">
        <v>374000</v>
      </c>
      <c r="I197" s="69">
        <v>358000</v>
      </c>
      <c r="J197" s="69">
        <v>507000</v>
      </c>
      <c r="K197" s="69">
        <v>482000</v>
      </c>
      <c r="L197" s="69">
        <v>1051000</v>
      </c>
      <c r="M197" s="69">
        <v>425000</v>
      </c>
      <c r="N197" s="69">
        <v>616000</v>
      </c>
      <c r="O197" s="69">
        <v>541000</v>
      </c>
      <c r="P197" s="69">
        <v>1718000</v>
      </c>
      <c r="Q197" s="69">
        <v>699000</v>
      </c>
      <c r="R197" s="69">
        <v>2173000</v>
      </c>
      <c r="S197" s="69">
        <v>3915000</v>
      </c>
      <c r="T197" s="69">
        <v>2391000</v>
      </c>
      <c r="U197" s="69">
        <v>1612000</v>
      </c>
      <c r="V197" s="69">
        <v>1340380</v>
      </c>
      <c r="W197" s="69">
        <v>3121300</v>
      </c>
      <c r="X197" s="69">
        <v>4124194</v>
      </c>
      <c r="Y197" s="69">
        <v>5022933</v>
      </c>
      <c r="Z197" s="69">
        <v>4868938</v>
      </c>
      <c r="AA197" s="69">
        <v>3003209</v>
      </c>
      <c r="AB197" s="69">
        <v>2212850</v>
      </c>
      <c r="AC197" s="69">
        <v>2938749</v>
      </c>
      <c r="AD197" s="69">
        <v>1128800</v>
      </c>
      <c r="AE197" s="69">
        <v>1402816</v>
      </c>
      <c r="AF197" s="69">
        <v>1341745</v>
      </c>
      <c r="AG197" s="69">
        <v>1019788</v>
      </c>
      <c r="AH197" s="69">
        <v>886176</v>
      </c>
      <c r="AI197" s="69">
        <v>837832</v>
      </c>
      <c r="AJ197" s="69">
        <v>1453371</v>
      </c>
      <c r="AK197" s="69">
        <v>1875739</v>
      </c>
      <c r="AL197" s="69">
        <v>1543656</v>
      </c>
      <c r="AM197" s="69">
        <v>2355885</v>
      </c>
      <c r="AN197" s="69">
        <v>2460989</v>
      </c>
      <c r="AO197" s="69">
        <v>6210487</v>
      </c>
      <c r="AP197" s="69">
        <v>2230117</v>
      </c>
      <c r="AQ197" s="69">
        <v>4997409</v>
      </c>
      <c r="AR197" s="69">
        <v>4995274</v>
      </c>
      <c r="AS197" s="69">
        <v>4034424</v>
      </c>
      <c r="AT197" s="69">
        <v>4358485</v>
      </c>
      <c r="AU197" s="69">
        <v>15575301</v>
      </c>
      <c r="AV197">
        <v>6208822</v>
      </c>
      <c r="AW197">
        <v>13581548</v>
      </c>
      <c r="AX197">
        <v>8265772</v>
      </c>
    </row>
    <row r="198" spans="1:50" ht="14.5" x14ac:dyDescent="0.35">
      <c r="A198" s="68" t="s">
        <v>383</v>
      </c>
      <c r="B198" s="68" t="str">
        <f>VLOOKUP(Tabelle_Abfrage_von_MS_Access_Database[[#This Row],[LAND]],Texte!$A$4:$C$261,Texte!$A$1+1,FALSE)</f>
        <v>Bhutan</v>
      </c>
      <c r="C198" s="68" t="s">
        <v>510</v>
      </c>
      <c r="D198" s="68" t="s">
        <v>557</v>
      </c>
      <c r="E198" s="69">
        <v>0</v>
      </c>
      <c r="F198" s="69">
        <v>0</v>
      </c>
      <c r="G198" s="69">
        <v>59000</v>
      </c>
      <c r="H198" s="69">
        <v>378000</v>
      </c>
      <c r="I198" s="69">
        <v>37000</v>
      </c>
      <c r="J198" s="69">
        <v>2000</v>
      </c>
      <c r="K198" s="69">
        <v>45000</v>
      </c>
      <c r="L198" s="69">
        <v>13000</v>
      </c>
      <c r="M198" s="69">
        <v>538000</v>
      </c>
      <c r="N198" s="69">
        <v>16000</v>
      </c>
      <c r="O198" s="69">
        <v>9000</v>
      </c>
      <c r="P198" s="69">
        <v>983000</v>
      </c>
      <c r="Q198" s="69">
        <v>18000</v>
      </c>
      <c r="R198" s="69">
        <v>654000</v>
      </c>
      <c r="S198" s="69">
        <v>333000</v>
      </c>
      <c r="T198" s="69">
        <v>628000</v>
      </c>
      <c r="U198" s="69">
        <v>274000</v>
      </c>
      <c r="V198" s="69">
        <v>1373738</v>
      </c>
      <c r="W198" s="69">
        <v>61266</v>
      </c>
      <c r="X198" s="69">
        <v>193961</v>
      </c>
      <c r="Y198" s="69">
        <v>570555</v>
      </c>
      <c r="Z198" s="69">
        <v>3592001</v>
      </c>
      <c r="AA198" s="69">
        <v>4178622</v>
      </c>
      <c r="AB198" s="69">
        <v>423538</v>
      </c>
      <c r="AC198" s="69">
        <v>850820</v>
      </c>
      <c r="AD198" s="69">
        <v>3324367</v>
      </c>
      <c r="AE198" s="69">
        <v>8283633</v>
      </c>
      <c r="AF198" s="69">
        <v>256709</v>
      </c>
      <c r="AG198" s="69">
        <v>740298</v>
      </c>
      <c r="AH198" s="69">
        <v>455772</v>
      </c>
      <c r="AI198" s="69">
        <v>1456172</v>
      </c>
      <c r="AJ198" s="69">
        <v>1029621</v>
      </c>
      <c r="AK198" s="69">
        <v>304768</v>
      </c>
      <c r="AL198" s="69">
        <v>2840786</v>
      </c>
      <c r="AM198" s="69">
        <v>6268057</v>
      </c>
      <c r="AN198" s="69">
        <v>7998021</v>
      </c>
      <c r="AO198" s="69">
        <v>634049</v>
      </c>
      <c r="AP198" s="69">
        <v>544641</v>
      </c>
      <c r="AQ198" s="69">
        <v>394747</v>
      </c>
      <c r="AR198" s="69">
        <v>2877780</v>
      </c>
      <c r="AS198" s="69">
        <v>702406</v>
      </c>
      <c r="AT198" s="69">
        <v>998048</v>
      </c>
      <c r="AU198" s="69">
        <v>824640</v>
      </c>
      <c r="AV198">
        <v>448076</v>
      </c>
      <c r="AW198">
        <v>539178</v>
      </c>
      <c r="AX198">
        <v>2901795</v>
      </c>
    </row>
    <row r="199" spans="1:50" ht="14.5" x14ac:dyDescent="0.35">
      <c r="A199" s="68" t="s">
        <v>385</v>
      </c>
      <c r="B199" s="68" t="str">
        <f>VLOOKUP(Tabelle_Abfrage_von_MS_Access_Database[[#This Row],[LAND]],Texte!$A$4:$C$261,Texte!$A$1+1,FALSE)</f>
        <v>Myanmar</v>
      </c>
      <c r="C199" s="68" t="s">
        <v>508</v>
      </c>
      <c r="D199" s="68" t="s">
        <v>557</v>
      </c>
      <c r="E199" s="69">
        <v>900000</v>
      </c>
      <c r="F199" s="69">
        <v>411000</v>
      </c>
      <c r="G199" s="69">
        <v>730000</v>
      </c>
      <c r="H199" s="69">
        <v>10949000</v>
      </c>
      <c r="I199" s="69">
        <v>16755000</v>
      </c>
      <c r="J199" s="69">
        <v>6661000</v>
      </c>
      <c r="K199" s="69">
        <v>16575000</v>
      </c>
      <c r="L199" s="69">
        <v>3929000</v>
      </c>
      <c r="M199" s="69">
        <v>2311000</v>
      </c>
      <c r="N199" s="69">
        <v>1008000</v>
      </c>
      <c r="O199" s="69">
        <v>2263000</v>
      </c>
      <c r="P199" s="69">
        <v>1182000</v>
      </c>
      <c r="Q199" s="69">
        <v>4552000</v>
      </c>
      <c r="R199" s="69">
        <v>1091000</v>
      </c>
      <c r="S199" s="69">
        <v>2842000</v>
      </c>
      <c r="T199" s="69">
        <v>4442000</v>
      </c>
      <c r="U199" s="69">
        <v>2082000</v>
      </c>
      <c r="V199" s="69">
        <v>2594274</v>
      </c>
      <c r="W199" s="69">
        <v>951797</v>
      </c>
      <c r="X199" s="69">
        <v>6575365</v>
      </c>
      <c r="Y199" s="69">
        <v>1079117</v>
      </c>
      <c r="Z199" s="69">
        <v>672657</v>
      </c>
      <c r="AA199" s="69">
        <v>1902140</v>
      </c>
      <c r="AB199" s="69">
        <v>3514555</v>
      </c>
      <c r="AC199" s="69">
        <v>3390781</v>
      </c>
      <c r="AD199" s="69">
        <v>4879371</v>
      </c>
      <c r="AE199" s="69">
        <v>5261153</v>
      </c>
      <c r="AF199" s="69">
        <v>4955797</v>
      </c>
      <c r="AG199" s="69">
        <v>5382157</v>
      </c>
      <c r="AH199" s="69">
        <v>6189293</v>
      </c>
      <c r="AI199" s="69">
        <v>5821471</v>
      </c>
      <c r="AJ199" s="69">
        <v>3757704</v>
      </c>
      <c r="AK199" s="69">
        <v>5653848</v>
      </c>
      <c r="AL199" s="69">
        <v>9064444</v>
      </c>
      <c r="AM199" s="69">
        <v>8848790</v>
      </c>
      <c r="AN199" s="69">
        <v>16017624</v>
      </c>
      <c r="AO199" s="69">
        <v>10550209</v>
      </c>
      <c r="AP199" s="69">
        <v>13295390</v>
      </c>
      <c r="AQ199" s="69">
        <v>14817341</v>
      </c>
      <c r="AR199" s="69">
        <v>15287738</v>
      </c>
      <c r="AS199" s="69">
        <v>9662627</v>
      </c>
      <c r="AT199" s="69">
        <v>34665445</v>
      </c>
      <c r="AU199" s="69">
        <v>18117838</v>
      </c>
      <c r="AV199">
        <v>11186197</v>
      </c>
      <c r="AW199">
        <v>11380048</v>
      </c>
      <c r="AX199">
        <v>10473891</v>
      </c>
    </row>
    <row r="200" spans="1:50" ht="14.5" x14ac:dyDescent="0.35">
      <c r="A200" s="68" t="s">
        <v>387</v>
      </c>
      <c r="B200" s="68" t="str">
        <f>VLOOKUP(Tabelle_Abfrage_von_MS_Access_Database[[#This Row],[LAND]],Texte!$A$4:$C$261,Texte!$A$1+1,FALSE)</f>
        <v>Thailand</v>
      </c>
      <c r="C200" s="68" t="s">
        <v>508</v>
      </c>
      <c r="D200" s="68" t="s">
        <v>557</v>
      </c>
      <c r="E200" s="69">
        <v>9900000</v>
      </c>
      <c r="F200" s="69">
        <v>15514000</v>
      </c>
      <c r="G200" s="69">
        <v>17414000</v>
      </c>
      <c r="H200" s="69">
        <v>20463000</v>
      </c>
      <c r="I200" s="69">
        <v>10245000</v>
      </c>
      <c r="J200" s="69">
        <v>24470000</v>
      </c>
      <c r="K200" s="69">
        <v>20774000</v>
      </c>
      <c r="L200" s="69">
        <v>19315000</v>
      </c>
      <c r="M200" s="69">
        <v>14271000</v>
      </c>
      <c r="N200" s="69">
        <v>17487000</v>
      </c>
      <c r="O200" s="69">
        <v>30182000</v>
      </c>
      <c r="P200" s="69">
        <v>41212000</v>
      </c>
      <c r="Q200" s="69">
        <v>81959000</v>
      </c>
      <c r="R200" s="69">
        <v>123062000</v>
      </c>
      <c r="S200" s="69">
        <v>97660000</v>
      </c>
      <c r="T200" s="69">
        <v>135910000</v>
      </c>
      <c r="U200" s="69">
        <v>66828000</v>
      </c>
      <c r="V200" s="69">
        <v>96343607</v>
      </c>
      <c r="W200" s="69">
        <v>140694001</v>
      </c>
      <c r="X200" s="69">
        <v>108877404</v>
      </c>
      <c r="Y200" s="69">
        <v>97922854</v>
      </c>
      <c r="Z200" s="69">
        <v>156327838</v>
      </c>
      <c r="AA200" s="69">
        <v>75657300</v>
      </c>
      <c r="AB200" s="69">
        <v>98908423</v>
      </c>
      <c r="AC200" s="69">
        <v>89844906</v>
      </c>
      <c r="AD200" s="69">
        <v>139170149</v>
      </c>
      <c r="AE200" s="69">
        <v>132616497</v>
      </c>
      <c r="AF200" s="69">
        <v>124642189</v>
      </c>
      <c r="AG200" s="69">
        <v>153049938</v>
      </c>
      <c r="AH200" s="69">
        <v>186141370</v>
      </c>
      <c r="AI200" s="69">
        <v>197803038</v>
      </c>
      <c r="AJ200" s="69">
        <v>166471433</v>
      </c>
      <c r="AK200" s="69">
        <v>196453646</v>
      </c>
      <c r="AL200" s="69">
        <v>251165978</v>
      </c>
      <c r="AM200" s="69">
        <v>293765872</v>
      </c>
      <c r="AN200" s="69">
        <v>277616263</v>
      </c>
      <c r="AO200" s="69">
        <v>274908259</v>
      </c>
      <c r="AP200" s="69">
        <v>276574211</v>
      </c>
      <c r="AQ200" s="69">
        <v>270150016</v>
      </c>
      <c r="AR200" s="69">
        <v>282440149</v>
      </c>
      <c r="AS200" s="69">
        <v>278151983</v>
      </c>
      <c r="AT200" s="69">
        <v>466684787</v>
      </c>
      <c r="AU200" s="69">
        <v>365788943</v>
      </c>
      <c r="AV200">
        <v>304296596</v>
      </c>
      <c r="AW200">
        <v>281223232</v>
      </c>
      <c r="AX200">
        <v>280658508</v>
      </c>
    </row>
    <row r="201" spans="1:50" ht="14.5" x14ac:dyDescent="0.35">
      <c r="A201" s="68" t="s">
        <v>389</v>
      </c>
      <c r="B201" s="68" t="str">
        <f>VLOOKUP(Tabelle_Abfrage_von_MS_Access_Database[[#This Row],[LAND]],Texte!$A$4:$C$261,Texte!$A$1+1,FALSE)</f>
        <v>Laos</v>
      </c>
      <c r="C201" s="68" t="s">
        <v>508</v>
      </c>
      <c r="D201" s="68" t="s">
        <v>557</v>
      </c>
      <c r="E201" s="69">
        <v>8000</v>
      </c>
      <c r="F201" s="69">
        <v>24000</v>
      </c>
      <c r="G201" s="69">
        <v>8000</v>
      </c>
      <c r="H201" s="69">
        <v>0</v>
      </c>
      <c r="I201" s="69">
        <v>309000</v>
      </c>
      <c r="J201" s="69">
        <v>14000</v>
      </c>
      <c r="K201" s="69">
        <v>12000</v>
      </c>
      <c r="L201" s="69">
        <v>20000</v>
      </c>
      <c r="M201" s="69">
        <v>15000</v>
      </c>
      <c r="N201" s="69">
        <v>13000</v>
      </c>
      <c r="O201" s="69">
        <v>0</v>
      </c>
      <c r="P201" s="69">
        <v>2000</v>
      </c>
      <c r="Q201" s="69">
        <v>30000</v>
      </c>
      <c r="R201" s="69">
        <v>37000</v>
      </c>
      <c r="S201" s="69">
        <v>17000</v>
      </c>
      <c r="T201" s="69">
        <v>30000</v>
      </c>
      <c r="U201" s="69">
        <v>331000</v>
      </c>
      <c r="V201" s="69">
        <v>508128</v>
      </c>
      <c r="W201" s="69">
        <v>707833</v>
      </c>
      <c r="X201" s="69">
        <v>274850</v>
      </c>
      <c r="Y201" s="69">
        <v>38299</v>
      </c>
      <c r="Z201" s="69">
        <v>69547</v>
      </c>
      <c r="AA201" s="69">
        <v>11555</v>
      </c>
      <c r="AB201" s="69">
        <v>70487</v>
      </c>
      <c r="AC201" s="69">
        <v>35639</v>
      </c>
      <c r="AD201" s="69">
        <v>26461</v>
      </c>
      <c r="AE201" s="69">
        <v>572628</v>
      </c>
      <c r="AF201" s="69">
        <v>27169</v>
      </c>
      <c r="AG201" s="69">
        <v>17622</v>
      </c>
      <c r="AH201" s="69">
        <v>387702</v>
      </c>
      <c r="AI201" s="69">
        <v>286148</v>
      </c>
      <c r="AJ201" s="69">
        <v>1060640</v>
      </c>
      <c r="AK201" s="69">
        <v>2066248</v>
      </c>
      <c r="AL201" s="69">
        <v>3451268</v>
      </c>
      <c r="AM201" s="69">
        <v>5770541</v>
      </c>
      <c r="AN201" s="69">
        <v>5413287</v>
      </c>
      <c r="AO201" s="69">
        <v>6073092</v>
      </c>
      <c r="AP201" s="69">
        <v>16006814</v>
      </c>
      <c r="AQ201" s="69">
        <v>8723279</v>
      </c>
      <c r="AR201" s="69">
        <v>48185922</v>
      </c>
      <c r="AS201" s="69">
        <v>27834442</v>
      </c>
      <c r="AT201" s="69">
        <v>9560987</v>
      </c>
      <c r="AU201" s="69">
        <v>10557462</v>
      </c>
      <c r="AV201">
        <v>5873710</v>
      </c>
      <c r="AW201">
        <v>8317787</v>
      </c>
      <c r="AX201">
        <v>5078166</v>
      </c>
    </row>
    <row r="202" spans="1:50" ht="14.5" x14ac:dyDescent="0.35">
      <c r="A202" s="68" t="s">
        <v>391</v>
      </c>
      <c r="B202" s="68" t="str">
        <f>VLOOKUP(Tabelle_Abfrage_von_MS_Access_Database[[#This Row],[LAND]],Texte!$A$4:$C$261,Texte!$A$1+1,FALSE)</f>
        <v>Vietnam</v>
      </c>
      <c r="C202" s="68" t="s">
        <v>508</v>
      </c>
      <c r="D202" s="68" t="s">
        <v>557</v>
      </c>
      <c r="E202" s="69">
        <v>48000</v>
      </c>
      <c r="F202" s="69">
        <v>20908000</v>
      </c>
      <c r="G202" s="69">
        <v>3878000</v>
      </c>
      <c r="H202" s="69">
        <v>1477000</v>
      </c>
      <c r="I202" s="69">
        <v>204000</v>
      </c>
      <c r="J202" s="69">
        <v>324000</v>
      </c>
      <c r="K202" s="69">
        <v>343000</v>
      </c>
      <c r="L202" s="69">
        <v>1215000</v>
      </c>
      <c r="M202" s="69">
        <v>1103000</v>
      </c>
      <c r="N202" s="69">
        <v>48000</v>
      </c>
      <c r="O202" s="69">
        <v>1935000</v>
      </c>
      <c r="P202" s="69">
        <v>1749000</v>
      </c>
      <c r="Q202" s="69">
        <v>5475000</v>
      </c>
      <c r="R202" s="69">
        <v>4424000</v>
      </c>
      <c r="S202" s="69">
        <v>2555000</v>
      </c>
      <c r="T202" s="69">
        <v>14368000</v>
      </c>
      <c r="U202" s="69">
        <v>11506000</v>
      </c>
      <c r="V202" s="69">
        <v>8990428</v>
      </c>
      <c r="W202" s="69">
        <v>19163534</v>
      </c>
      <c r="X202" s="69">
        <v>24936960</v>
      </c>
      <c r="Y202" s="69">
        <v>30346719</v>
      </c>
      <c r="Z202" s="69">
        <v>44331441</v>
      </c>
      <c r="AA202" s="69">
        <v>24073970</v>
      </c>
      <c r="AB202" s="69">
        <v>43318539</v>
      </c>
      <c r="AC202" s="69">
        <v>53970726</v>
      </c>
      <c r="AD202" s="69">
        <v>34731953</v>
      </c>
      <c r="AE202" s="69">
        <v>43110224</v>
      </c>
      <c r="AF202" s="69">
        <v>35082357</v>
      </c>
      <c r="AG202" s="69">
        <v>55456258</v>
      </c>
      <c r="AH202" s="69">
        <v>68236051</v>
      </c>
      <c r="AI202" s="69">
        <v>86516789</v>
      </c>
      <c r="AJ202" s="69">
        <v>82268470</v>
      </c>
      <c r="AK202" s="69">
        <v>92885478</v>
      </c>
      <c r="AL202" s="69">
        <v>103216994</v>
      </c>
      <c r="AM202" s="69">
        <v>113156351</v>
      </c>
      <c r="AN202" s="69">
        <v>148047796</v>
      </c>
      <c r="AO202" s="69">
        <v>159262485</v>
      </c>
      <c r="AP202" s="69">
        <v>177266506</v>
      </c>
      <c r="AQ202" s="69">
        <v>179306600</v>
      </c>
      <c r="AR202" s="69">
        <v>252801568</v>
      </c>
      <c r="AS202" s="69">
        <v>225672960</v>
      </c>
      <c r="AT202" s="69">
        <v>254439154</v>
      </c>
      <c r="AU202" s="69">
        <v>228950605</v>
      </c>
      <c r="AV202">
        <v>182201390</v>
      </c>
      <c r="AW202">
        <v>226119370</v>
      </c>
      <c r="AX202">
        <v>205539703</v>
      </c>
    </row>
    <row r="203" spans="1:50" ht="14.5" x14ac:dyDescent="0.35">
      <c r="A203" s="68" t="s">
        <v>393</v>
      </c>
      <c r="B203" s="68" t="str">
        <f>VLOOKUP(Tabelle_Abfrage_von_MS_Access_Database[[#This Row],[LAND]],Texte!$A$4:$C$261,Texte!$A$1+1,FALSE)</f>
        <v>Kambodscha</v>
      </c>
      <c r="C203" s="68" t="s">
        <v>509</v>
      </c>
      <c r="D203" s="68" t="s">
        <v>557</v>
      </c>
      <c r="E203" s="69">
        <v>0</v>
      </c>
      <c r="F203" s="69">
        <v>0</v>
      </c>
      <c r="G203" s="69">
        <v>0</v>
      </c>
      <c r="H203" s="69">
        <v>6000</v>
      </c>
      <c r="I203" s="69">
        <v>1000</v>
      </c>
      <c r="J203" s="69">
        <v>44000</v>
      </c>
      <c r="K203" s="69">
        <v>5000</v>
      </c>
      <c r="L203" s="69">
        <v>47000</v>
      </c>
      <c r="M203" s="69">
        <v>0</v>
      </c>
      <c r="N203" s="69">
        <v>32000</v>
      </c>
      <c r="O203" s="69">
        <v>0</v>
      </c>
      <c r="P203" s="69">
        <v>55000</v>
      </c>
      <c r="Q203" s="69">
        <v>20000</v>
      </c>
      <c r="R203" s="69">
        <v>1000</v>
      </c>
      <c r="S203" s="69">
        <v>389000</v>
      </c>
      <c r="T203" s="69">
        <v>663000</v>
      </c>
      <c r="U203" s="69">
        <v>2297000</v>
      </c>
      <c r="V203" s="69">
        <v>945256</v>
      </c>
      <c r="W203" s="69">
        <v>1202809</v>
      </c>
      <c r="X203" s="69">
        <v>6741860</v>
      </c>
      <c r="Y203" s="69">
        <v>695045</v>
      </c>
      <c r="Z203" s="69">
        <v>999108</v>
      </c>
      <c r="AA203" s="69">
        <v>6531401</v>
      </c>
      <c r="AB203" s="69">
        <v>1464582</v>
      </c>
      <c r="AC203" s="69">
        <v>799211</v>
      </c>
      <c r="AD203" s="69">
        <v>1218626</v>
      </c>
      <c r="AE203" s="69">
        <v>449894</v>
      </c>
      <c r="AF203" s="69">
        <v>702165</v>
      </c>
      <c r="AG203" s="69">
        <v>488310</v>
      </c>
      <c r="AH203" s="69">
        <v>1856494</v>
      </c>
      <c r="AI203" s="69">
        <v>733153</v>
      </c>
      <c r="AJ203" s="69">
        <v>736883</v>
      </c>
      <c r="AK203" s="69">
        <v>1327309</v>
      </c>
      <c r="AL203" s="69">
        <v>1138209</v>
      </c>
      <c r="AM203" s="69">
        <v>1804900</v>
      </c>
      <c r="AN203" s="69">
        <v>2293123</v>
      </c>
      <c r="AO203" s="69">
        <v>2955753</v>
      </c>
      <c r="AP203" s="69">
        <v>2172486</v>
      </c>
      <c r="AQ203" s="69">
        <v>8156923</v>
      </c>
      <c r="AR203" s="69">
        <v>2131396</v>
      </c>
      <c r="AS203" s="69">
        <v>8159425</v>
      </c>
      <c r="AT203" s="69">
        <v>16988346</v>
      </c>
      <c r="AU203" s="69">
        <v>3880511</v>
      </c>
      <c r="AV203">
        <v>3727781</v>
      </c>
      <c r="AW203">
        <v>4424339</v>
      </c>
      <c r="AX203">
        <v>3205849</v>
      </c>
    </row>
    <row r="204" spans="1:50" ht="14.5" x14ac:dyDescent="0.35">
      <c r="A204" s="68" t="s">
        <v>395</v>
      </c>
      <c r="B204" s="68" t="str">
        <f>VLOOKUP(Tabelle_Abfrage_von_MS_Access_Database[[#This Row],[LAND]],Texte!$A$4:$C$261,Texte!$A$1+1,FALSE)</f>
        <v>Indonesien</v>
      </c>
      <c r="C204" s="68" t="s">
        <v>508</v>
      </c>
      <c r="D204" s="68" t="s">
        <v>557</v>
      </c>
      <c r="E204" s="69">
        <v>15282000</v>
      </c>
      <c r="F204" s="69">
        <v>13541000</v>
      </c>
      <c r="G204" s="69">
        <v>19043000</v>
      </c>
      <c r="H204" s="69">
        <v>33608000</v>
      </c>
      <c r="I204" s="69">
        <v>92887000</v>
      </c>
      <c r="J204" s="69">
        <v>59889000</v>
      </c>
      <c r="K204" s="69">
        <v>48592000</v>
      </c>
      <c r="L204" s="69">
        <v>35428000</v>
      </c>
      <c r="M204" s="69">
        <v>46937000</v>
      </c>
      <c r="N204" s="69">
        <v>67783000</v>
      </c>
      <c r="O204" s="69">
        <v>53370000</v>
      </c>
      <c r="P204" s="69">
        <v>57044000</v>
      </c>
      <c r="Q204" s="69">
        <v>79871000</v>
      </c>
      <c r="R204" s="69">
        <v>90418000</v>
      </c>
      <c r="S204" s="69">
        <v>143808000</v>
      </c>
      <c r="T204" s="69">
        <v>178357000</v>
      </c>
      <c r="U204" s="69">
        <v>114637000</v>
      </c>
      <c r="V204" s="69">
        <v>168645088</v>
      </c>
      <c r="W204" s="69">
        <v>206386920</v>
      </c>
      <c r="X204" s="69">
        <v>222639907</v>
      </c>
      <c r="Y204" s="69">
        <v>127908480</v>
      </c>
      <c r="Z204" s="69">
        <v>195658736</v>
      </c>
      <c r="AA204" s="69">
        <v>165003956</v>
      </c>
      <c r="AB204" s="69">
        <v>129117410</v>
      </c>
      <c r="AC204" s="69">
        <v>104762872</v>
      </c>
      <c r="AD204" s="69">
        <v>89361907</v>
      </c>
      <c r="AE204" s="69">
        <v>108012626</v>
      </c>
      <c r="AF204" s="69">
        <v>132751017</v>
      </c>
      <c r="AG204" s="69">
        <v>119739564</v>
      </c>
      <c r="AH204" s="69">
        <v>192259061</v>
      </c>
      <c r="AI204" s="69">
        <v>228081080</v>
      </c>
      <c r="AJ204" s="69">
        <v>155825715</v>
      </c>
      <c r="AK204" s="69">
        <v>149749562</v>
      </c>
      <c r="AL204" s="69">
        <v>229078274</v>
      </c>
      <c r="AM204" s="69">
        <v>267198805</v>
      </c>
      <c r="AN204" s="69">
        <v>281508880</v>
      </c>
      <c r="AO204" s="69">
        <v>218696244</v>
      </c>
      <c r="AP204" s="69">
        <v>214420806</v>
      </c>
      <c r="AQ204" s="69">
        <v>235008624</v>
      </c>
      <c r="AR204" s="69">
        <v>247772991</v>
      </c>
      <c r="AS204" s="69">
        <v>231449060</v>
      </c>
      <c r="AT204" s="69">
        <v>236026364</v>
      </c>
      <c r="AU204" s="69">
        <v>190364009</v>
      </c>
      <c r="AV204">
        <v>228364319</v>
      </c>
      <c r="AW204">
        <v>250914206</v>
      </c>
      <c r="AX204">
        <v>331248496</v>
      </c>
    </row>
    <row r="205" spans="1:50" ht="14.5" x14ac:dyDescent="0.35">
      <c r="A205" s="68" t="s">
        <v>397</v>
      </c>
      <c r="B205" s="68" t="str">
        <f>VLOOKUP(Tabelle_Abfrage_von_MS_Access_Database[[#This Row],[LAND]],Texte!$A$4:$C$261,Texte!$A$1+1,FALSE)</f>
        <v>Malaysia</v>
      </c>
      <c r="C205" s="68" t="s">
        <v>508</v>
      </c>
      <c r="D205" s="68" t="s">
        <v>557</v>
      </c>
      <c r="E205" s="69">
        <v>7061000</v>
      </c>
      <c r="F205" s="69">
        <v>9639000</v>
      </c>
      <c r="G205" s="69">
        <v>9255000</v>
      </c>
      <c r="H205" s="69">
        <v>11352000</v>
      </c>
      <c r="I205" s="69">
        <v>14448000</v>
      </c>
      <c r="J205" s="69">
        <v>45236000</v>
      </c>
      <c r="K205" s="69">
        <v>19256000</v>
      </c>
      <c r="L205" s="69">
        <v>39325000</v>
      </c>
      <c r="M205" s="69">
        <v>24317000</v>
      </c>
      <c r="N205" s="69">
        <v>20710000</v>
      </c>
      <c r="O205" s="69">
        <v>23708000</v>
      </c>
      <c r="P205" s="69">
        <v>32494000</v>
      </c>
      <c r="Q205" s="69">
        <v>48965000</v>
      </c>
      <c r="R205" s="69">
        <v>67707000</v>
      </c>
      <c r="S205" s="69">
        <v>71177000</v>
      </c>
      <c r="T205" s="69">
        <v>67650000</v>
      </c>
      <c r="U205" s="69">
        <v>115199000</v>
      </c>
      <c r="V205" s="69">
        <v>59433150</v>
      </c>
      <c r="W205" s="69">
        <v>71676486</v>
      </c>
      <c r="X205" s="69">
        <v>80991168</v>
      </c>
      <c r="Y205" s="69">
        <v>71445241</v>
      </c>
      <c r="Z205" s="69">
        <v>65880107</v>
      </c>
      <c r="AA205" s="69">
        <v>104061392</v>
      </c>
      <c r="AB205" s="69">
        <v>103257733</v>
      </c>
      <c r="AC205" s="69">
        <v>92594452</v>
      </c>
      <c r="AD205" s="69">
        <v>82622343</v>
      </c>
      <c r="AE205" s="69">
        <v>167356609</v>
      </c>
      <c r="AF205" s="69">
        <v>203298007</v>
      </c>
      <c r="AG205" s="69">
        <v>236077153</v>
      </c>
      <c r="AH205" s="69">
        <v>268002234</v>
      </c>
      <c r="AI205" s="69">
        <v>324679568</v>
      </c>
      <c r="AJ205" s="69">
        <v>202054753</v>
      </c>
      <c r="AK205" s="69">
        <v>162893139</v>
      </c>
      <c r="AL205" s="69">
        <v>334320453</v>
      </c>
      <c r="AM205" s="69">
        <v>408777490</v>
      </c>
      <c r="AN205" s="69">
        <v>432865808</v>
      </c>
      <c r="AO205" s="69">
        <v>480067935</v>
      </c>
      <c r="AP205" s="69">
        <v>487323412</v>
      </c>
      <c r="AQ205" s="69">
        <v>509177260</v>
      </c>
      <c r="AR205" s="69">
        <v>504899503</v>
      </c>
      <c r="AS205" s="69">
        <v>539838010</v>
      </c>
      <c r="AT205" s="69">
        <v>463742330</v>
      </c>
      <c r="AU205" s="69">
        <v>402610252</v>
      </c>
      <c r="AV205">
        <v>496888127</v>
      </c>
      <c r="AW205">
        <v>561384042</v>
      </c>
      <c r="AX205">
        <v>592429389</v>
      </c>
    </row>
    <row r="206" spans="1:50" ht="14.5" x14ac:dyDescent="0.35">
      <c r="A206" s="68" t="s">
        <v>399</v>
      </c>
      <c r="B206" s="68" t="str">
        <f>VLOOKUP(Tabelle_Abfrage_von_MS_Access_Database[[#This Row],[LAND]],Texte!$A$4:$C$261,Texte!$A$1+1,FALSE)</f>
        <v>Brunei</v>
      </c>
      <c r="C206" s="68" t="s">
        <v>508</v>
      </c>
      <c r="D206" s="68" t="s">
        <v>557</v>
      </c>
      <c r="E206" s="69">
        <v>148000</v>
      </c>
      <c r="F206" s="69">
        <v>89000</v>
      </c>
      <c r="G206" s="69">
        <v>35000</v>
      </c>
      <c r="H206" s="69">
        <v>82000</v>
      </c>
      <c r="I206" s="69">
        <v>26000</v>
      </c>
      <c r="J206" s="69">
        <v>1218000</v>
      </c>
      <c r="K206" s="69">
        <v>412000</v>
      </c>
      <c r="L206" s="69">
        <v>107000</v>
      </c>
      <c r="M206" s="69">
        <v>80000</v>
      </c>
      <c r="N206" s="69">
        <v>1377000</v>
      </c>
      <c r="O206" s="69">
        <v>341000</v>
      </c>
      <c r="P206" s="69">
        <v>516000</v>
      </c>
      <c r="Q206" s="69">
        <v>1134000</v>
      </c>
      <c r="R206" s="69">
        <v>1120000</v>
      </c>
      <c r="S206" s="69">
        <v>2925000</v>
      </c>
      <c r="T206" s="69">
        <v>2457000</v>
      </c>
      <c r="U206" s="69">
        <v>6495000</v>
      </c>
      <c r="V206" s="69">
        <v>5745293</v>
      </c>
      <c r="W206" s="69">
        <v>4870965</v>
      </c>
      <c r="X206" s="69">
        <v>1565008</v>
      </c>
      <c r="Y206" s="69">
        <v>1336382</v>
      </c>
      <c r="Z206" s="69">
        <v>5922474</v>
      </c>
      <c r="AA206" s="69">
        <v>1284058</v>
      </c>
      <c r="AB206" s="69">
        <v>845341</v>
      </c>
      <c r="AC206" s="69">
        <v>1392566</v>
      </c>
      <c r="AD206" s="69">
        <v>255413</v>
      </c>
      <c r="AE206" s="69">
        <v>1829457</v>
      </c>
      <c r="AF206" s="69">
        <v>561103</v>
      </c>
      <c r="AG206" s="69">
        <v>3596617</v>
      </c>
      <c r="AH206" s="69">
        <v>1148313</v>
      </c>
      <c r="AI206" s="69">
        <v>2006549</v>
      </c>
      <c r="AJ206" s="69">
        <v>1609725</v>
      </c>
      <c r="AK206" s="69">
        <v>1203680</v>
      </c>
      <c r="AL206" s="69">
        <v>686324</v>
      </c>
      <c r="AM206" s="69">
        <v>1428877</v>
      </c>
      <c r="AN206" s="69">
        <v>382887</v>
      </c>
      <c r="AO206" s="69">
        <v>897478</v>
      </c>
      <c r="AP206" s="69">
        <v>2660038</v>
      </c>
      <c r="AQ206" s="69">
        <v>1090649</v>
      </c>
      <c r="AR206" s="69">
        <v>377846</v>
      </c>
      <c r="AS206" s="69">
        <v>1025587</v>
      </c>
      <c r="AT206" s="69">
        <v>5667597</v>
      </c>
      <c r="AU206" s="69">
        <v>1716261</v>
      </c>
      <c r="AV206">
        <v>2044576</v>
      </c>
      <c r="AW206">
        <v>1644047</v>
      </c>
      <c r="AX206">
        <v>1002989</v>
      </c>
    </row>
    <row r="207" spans="1:50" ht="14.5" x14ac:dyDescent="0.35">
      <c r="A207" s="68" t="s">
        <v>401</v>
      </c>
      <c r="B207" s="68" t="str">
        <f>VLOOKUP(Tabelle_Abfrage_von_MS_Access_Database[[#This Row],[LAND]],Texte!$A$4:$C$261,Texte!$A$1+1,FALSE)</f>
        <v>Singapur</v>
      </c>
      <c r="C207" s="68" t="s">
        <v>508</v>
      </c>
      <c r="D207" s="68" t="s">
        <v>557</v>
      </c>
      <c r="E207" s="69">
        <v>19916000</v>
      </c>
      <c r="F207" s="69">
        <v>18914000</v>
      </c>
      <c r="G207" s="69">
        <v>24097000</v>
      </c>
      <c r="H207" s="69">
        <v>34089000</v>
      </c>
      <c r="I207" s="69">
        <v>39351000</v>
      </c>
      <c r="J207" s="69">
        <v>39892000</v>
      </c>
      <c r="K207" s="69">
        <v>45334000</v>
      </c>
      <c r="L207" s="69">
        <v>45717000</v>
      </c>
      <c r="M207" s="69">
        <v>45995000</v>
      </c>
      <c r="N207" s="69">
        <v>51190000</v>
      </c>
      <c r="O207" s="69">
        <v>53681000</v>
      </c>
      <c r="P207" s="69">
        <v>70061000</v>
      </c>
      <c r="Q207" s="69">
        <v>83385000</v>
      </c>
      <c r="R207" s="69">
        <v>81084000</v>
      </c>
      <c r="S207" s="69">
        <v>88113000</v>
      </c>
      <c r="T207" s="69">
        <v>93868000</v>
      </c>
      <c r="U207" s="69">
        <v>163781000</v>
      </c>
      <c r="V207" s="69">
        <v>175946083</v>
      </c>
      <c r="W207" s="69">
        <v>147553168</v>
      </c>
      <c r="X207" s="69">
        <v>135348567</v>
      </c>
      <c r="Y207" s="69">
        <v>91641180</v>
      </c>
      <c r="Z207" s="69">
        <v>139771949</v>
      </c>
      <c r="AA207" s="69">
        <v>231299102</v>
      </c>
      <c r="AB207" s="69">
        <v>223661861</v>
      </c>
      <c r="AC207" s="69">
        <v>201966589</v>
      </c>
      <c r="AD207" s="69">
        <v>153678580</v>
      </c>
      <c r="AE207" s="69">
        <v>191031342</v>
      </c>
      <c r="AF207" s="69">
        <v>187107748</v>
      </c>
      <c r="AG207" s="69">
        <v>283607027</v>
      </c>
      <c r="AH207" s="69">
        <v>318481051</v>
      </c>
      <c r="AI207" s="69">
        <v>334151852</v>
      </c>
      <c r="AJ207" s="69">
        <v>228741871</v>
      </c>
      <c r="AK207" s="69">
        <v>298732261</v>
      </c>
      <c r="AL207" s="69">
        <v>339537994</v>
      </c>
      <c r="AM207" s="69">
        <v>368823033</v>
      </c>
      <c r="AN207" s="69">
        <v>386060463</v>
      </c>
      <c r="AO207" s="69">
        <v>412966020</v>
      </c>
      <c r="AP207" s="69">
        <v>370095606</v>
      </c>
      <c r="AQ207" s="69">
        <v>373716106</v>
      </c>
      <c r="AR207" s="69">
        <v>388932822</v>
      </c>
      <c r="AS207" s="69">
        <v>416445414</v>
      </c>
      <c r="AT207" s="69">
        <v>340523584</v>
      </c>
      <c r="AU207" s="69">
        <v>309566604</v>
      </c>
      <c r="AV207">
        <v>413633826</v>
      </c>
      <c r="AW207">
        <v>493958226</v>
      </c>
      <c r="AX207">
        <v>469207273</v>
      </c>
    </row>
    <row r="208" spans="1:50" ht="14.5" x14ac:dyDescent="0.35">
      <c r="A208" s="68" t="s">
        <v>403</v>
      </c>
      <c r="B208" s="68" t="str">
        <f>VLOOKUP(Tabelle_Abfrage_von_MS_Access_Database[[#This Row],[LAND]],Texte!$A$4:$C$261,Texte!$A$1+1,FALSE)</f>
        <v>Philippinen</v>
      </c>
      <c r="C208" s="68" t="s">
        <v>508</v>
      </c>
      <c r="D208" s="68" t="s">
        <v>557</v>
      </c>
      <c r="E208" s="69">
        <v>8554000</v>
      </c>
      <c r="F208" s="69">
        <v>22882000</v>
      </c>
      <c r="G208" s="69">
        <v>16322000</v>
      </c>
      <c r="H208" s="69">
        <v>22633000</v>
      </c>
      <c r="I208" s="69">
        <v>49155000</v>
      </c>
      <c r="J208" s="69">
        <v>34963000</v>
      </c>
      <c r="K208" s="69">
        <v>36309000</v>
      </c>
      <c r="L208" s="69">
        <v>13538000</v>
      </c>
      <c r="M208" s="69">
        <v>11684000</v>
      </c>
      <c r="N208" s="69">
        <v>9538000</v>
      </c>
      <c r="O208" s="69">
        <v>11203000</v>
      </c>
      <c r="P208" s="69">
        <v>18793000</v>
      </c>
      <c r="Q208" s="69">
        <v>36420000</v>
      </c>
      <c r="R208" s="69">
        <v>21824000</v>
      </c>
      <c r="S208" s="69">
        <v>18784000</v>
      </c>
      <c r="T208" s="69">
        <v>24789000</v>
      </c>
      <c r="U208" s="69">
        <v>22730000</v>
      </c>
      <c r="V208" s="69">
        <v>24750616</v>
      </c>
      <c r="W208" s="69">
        <v>34287846</v>
      </c>
      <c r="X208" s="69">
        <v>36022898</v>
      </c>
      <c r="Y208" s="69">
        <v>40831084</v>
      </c>
      <c r="Z208" s="69">
        <v>52844774</v>
      </c>
      <c r="AA208" s="69">
        <v>79620879</v>
      </c>
      <c r="AB208" s="69">
        <v>92742880</v>
      </c>
      <c r="AC208" s="69">
        <v>70382196</v>
      </c>
      <c r="AD208" s="69">
        <v>160145239</v>
      </c>
      <c r="AE208" s="69">
        <v>157093138</v>
      </c>
      <c r="AF208" s="69">
        <v>54443705</v>
      </c>
      <c r="AG208" s="69">
        <v>70544457</v>
      </c>
      <c r="AH208" s="69">
        <v>72252714</v>
      </c>
      <c r="AI208" s="69">
        <v>82512633</v>
      </c>
      <c r="AJ208" s="69">
        <v>100842299</v>
      </c>
      <c r="AK208" s="69">
        <v>114467248</v>
      </c>
      <c r="AL208" s="69">
        <v>91223710</v>
      </c>
      <c r="AM208" s="69">
        <v>96806350</v>
      </c>
      <c r="AN208" s="69">
        <v>100034157</v>
      </c>
      <c r="AO208" s="69">
        <v>128244080</v>
      </c>
      <c r="AP208" s="69">
        <v>125056402</v>
      </c>
      <c r="AQ208" s="69">
        <v>118136722</v>
      </c>
      <c r="AR208" s="69">
        <v>178382493</v>
      </c>
      <c r="AS208" s="69">
        <v>137252341</v>
      </c>
      <c r="AT208" s="69">
        <v>153134161</v>
      </c>
      <c r="AU208" s="69">
        <v>133977858</v>
      </c>
      <c r="AV208">
        <v>164018679</v>
      </c>
      <c r="AW208">
        <v>170311644</v>
      </c>
      <c r="AX208">
        <v>170278608</v>
      </c>
    </row>
    <row r="209" spans="1:50" ht="14.5" x14ac:dyDescent="0.35">
      <c r="A209" s="68" t="s">
        <v>405</v>
      </c>
      <c r="B209" s="68" t="str">
        <f>VLOOKUP(Tabelle_Abfrage_von_MS_Access_Database[[#This Row],[LAND]],Texte!$A$4:$C$261,Texte!$A$1+1,FALSE)</f>
        <v>Mongolei</v>
      </c>
      <c r="C209" s="68" t="s">
        <v>508</v>
      </c>
      <c r="D209" s="68" t="s">
        <v>557</v>
      </c>
      <c r="E209" s="69">
        <v>1057000</v>
      </c>
      <c r="F209" s="69">
        <v>1032000</v>
      </c>
      <c r="G209" s="69">
        <v>1608000</v>
      </c>
      <c r="H209" s="69">
        <v>2679000</v>
      </c>
      <c r="I209" s="69">
        <v>3437000</v>
      </c>
      <c r="J209" s="69">
        <v>1671000</v>
      </c>
      <c r="K209" s="69">
        <v>1185000</v>
      </c>
      <c r="L209" s="69">
        <v>1526000</v>
      </c>
      <c r="M209" s="69">
        <v>3188000</v>
      </c>
      <c r="N209" s="69">
        <v>1902000</v>
      </c>
      <c r="O209" s="69">
        <v>1911000</v>
      </c>
      <c r="P209" s="69">
        <v>4182000</v>
      </c>
      <c r="Q209" s="69">
        <v>5592000</v>
      </c>
      <c r="R209" s="69">
        <v>8226000</v>
      </c>
      <c r="S209" s="69">
        <v>5825000</v>
      </c>
      <c r="T209" s="69">
        <v>876000</v>
      </c>
      <c r="U209" s="69">
        <v>154000</v>
      </c>
      <c r="V209" s="69">
        <v>5957138</v>
      </c>
      <c r="W209" s="69">
        <v>294397</v>
      </c>
      <c r="X209" s="69">
        <v>1375986</v>
      </c>
      <c r="Y209" s="69">
        <v>2345223</v>
      </c>
      <c r="Z209" s="69">
        <v>588360</v>
      </c>
      <c r="AA209" s="69">
        <v>1196336</v>
      </c>
      <c r="AB209" s="69">
        <v>813280</v>
      </c>
      <c r="AC209" s="69">
        <v>2481511</v>
      </c>
      <c r="AD209" s="69">
        <v>3288148</v>
      </c>
      <c r="AE209" s="69">
        <v>5204555</v>
      </c>
      <c r="AF209" s="69">
        <v>2587091</v>
      </c>
      <c r="AG209" s="69">
        <v>3940551</v>
      </c>
      <c r="AH209" s="69">
        <v>5504402</v>
      </c>
      <c r="AI209" s="69">
        <v>10863617</v>
      </c>
      <c r="AJ209" s="69">
        <v>2655127</v>
      </c>
      <c r="AK209" s="69">
        <v>3299165</v>
      </c>
      <c r="AL209" s="69">
        <v>14554461</v>
      </c>
      <c r="AM209" s="69">
        <v>12703410</v>
      </c>
      <c r="AN209" s="69">
        <v>14237096</v>
      </c>
      <c r="AO209" s="69">
        <v>9339809</v>
      </c>
      <c r="AP209" s="69">
        <v>34479632</v>
      </c>
      <c r="AQ209" s="69">
        <v>11426820</v>
      </c>
      <c r="AR209" s="69">
        <v>10748426</v>
      </c>
      <c r="AS209" s="69">
        <v>21038310</v>
      </c>
      <c r="AT209" s="69">
        <v>29691238</v>
      </c>
      <c r="AU209" s="69">
        <v>24491154</v>
      </c>
      <c r="AV209">
        <v>22986882</v>
      </c>
      <c r="AW209">
        <v>38897217</v>
      </c>
      <c r="AX209">
        <v>36695457</v>
      </c>
    </row>
    <row r="210" spans="1:50" ht="14.5" x14ac:dyDescent="0.35">
      <c r="A210" s="68" t="s">
        <v>407</v>
      </c>
      <c r="B210" s="68" t="str">
        <f>VLOOKUP(Tabelle_Abfrage_von_MS_Access_Database[[#This Row],[LAND]],Texte!$A$4:$C$261,Texte!$A$1+1,FALSE)</f>
        <v>China</v>
      </c>
      <c r="C210" s="68" t="s">
        <v>508</v>
      </c>
      <c r="D210" s="68" t="s">
        <v>557</v>
      </c>
      <c r="E210" s="69">
        <v>57656000</v>
      </c>
      <c r="F210" s="69">
        <v>74374000</v>
      </c>
      <c r="G210" s="69">
        <v>80975000</v>
      </c>
      <c r="H210" s="69">
        <v>53301000</v>
      </c>
      <c r="I210" s="69">
        <v>69148000</v>
      </c>
      <c r="J210" s="69">
        <v>53124000</v>
      </c>
      <c r="K210" s="69">
        <v>127545000</v>
      </c>
      <c r="L210" s="69">
        <v>227964000</v>
      </c>
      <c r="M210" s="69">
        <v>207603000</v>
      </c>
      <c r="N210" s="69">
        <v>150053000</v>
      </c>
      <c r="O210" s="69">
        <v>149159000</v>
      </c>
      <c r="P210" s="69">
        <v>161263000</v>
      </c>
      <c r="Q210" s="69">
        <v>209247000</v>
      </c>
      <c r="R210" s="69">
        <v>242059000</v>
      </c>
      <c r="S210" s="69">
        <v>188542000</v>
      </c>
      <c r="T210" s="69">
        <v>266547000</v>
      </c>
      <c r="U210" s="69">
        <v>270867000</v>
      </c>
      <c r="V210" s="69">
        <v>328006807</v>
      </c>
      <c r="W210" s="69">
        <v>263100740</v>
      </c>
      <c r="X210" s="69">
        <v>303713946</v>
      </c>
      <c r="Y210" s="69">
        <v>370059276</v>
      </c>
      <c r="Z210" s="69">
        <v>390779835</v>
      </c>
      <c r="AA210" s="69">
        <v>490450473</v>
      </c>
      <c r="AB210" s="69">
        <v>844510292</v>
      </c>
      <c r="AC210" s="69">
        <v>1170192654</v>
      </c>
      <c r="AD210" s="69">
        <v>888489151</v>
      </c>
      <c r="AE210" s="69">
        <v>1119134559</v>
      </c>
      <c r="AF210" s="69">
        <v>1220555476</v>
      </c>
      <c r="AG210" s="69">
        <v>1232111316</v>
      </c>
      <c r="AH210" s="69">
        <v>1638614406</v>
      </c>
      <c r="AI210" s="69">
        <v>1875230380</v>
      </c>
      <c r="AJ210" s="69">
        <v>2016650280</v>
      </c>
      <c r="AK210" s="69">
        <v>2807460318</v>
      </c>
      <c r="AL210" s="69">
        <v>2918835320</v>
      </c>
      <c r="AM210" s="69">
        <v>3030694246</v>
      </c>
      <c r="AN210" s="69">
        <v>3136376578</v>
      </c>
      <c r="AO210" s="69">
        <v>3379915625</v>
      </c>
      <c r="AP210" s="69">
        <v>3304738721</v>
      </c>
      <c r="AQ210" s="69">
        <v>3312916325</v>
      </c>
      <c r="AR210" s="69">
        <v>3698899461</v>
      </c>
      <c r="AS210" s="69">
        <v>4055487147</v>
      </c>
      <c r="AT210" s="69">
        <v>4459362873</v>
      </c>
      <c r="AU210" s="69">
        <v>3915311022</v>
      </c>
      <c r="AV210">
        <v>4820803644</v>
      </c>
      <c r="AW210">
        <v>5261901053</v>
      </c>
      <c r="AX210">
        <v>5057044650</v>
      </c>
    </row>
    <row r="211" spans="1:50" ht="14.5" x14ac:dyDescent="0.35">
      <c r="A211" s="68" t="s">
        <v>409</v>
      </c>
      <c r="B211" s="68" t="str">
        <f>VLOOKUP(Tabelle_Abfrage_von_MS_Access_Database[[#This Row],[LAND]],Texte!$A$4:$C$261,Texte!$A$1+1,FALSE)</f>
        <v>Nordkorea</v>
      </c>
      <c r="C211" s="68" t="s">
        <v>508</v>
      </c>
      <c r="D211" s="68" t="s">
        <v>557</v>
      </c>
      <c r="E211" s="69">
        <v>3771000</v>
      </c>
      <c r="F211" s="69">
        <v>6274000</v>
      </c>
      <c r="G211" s="69">
        <v>4577000</v>
      </c>
      <c r="H211" s="69">
        <v>20323000</v>
      </c>
      <c r="I211" s="69">
        <v>7509000</v>
      </c>
      <c r="J211" s="69">
        <v>7102000</v>
      </c>
      <c r="K211" s="69">
        <v>8357000</v>
      </c>
      <c r="L211" s="69">
        <v>13397000</v>
      </c>
      <c r="M211" s="69">
        <v>3713000</v>
      </c>
      <c r="N211" s="69">
        <v>4542000</v>
      </c>
      <c r="O211" s="69">
        <v>17095000</v>
      </c>
      <c r="P211" s="69">
        <v>8635000</v>
      </c>
      <c r="Q211" s="69">
        <v>17757000</v>
      </c>
      <c r="R211" s="69">
        <v>10145000</v>
      </c>
      <c r="S211" s="69">
        <v>14804000</v>
      </c>
      <c r="T211" s="69">
        <v>7558000</v>
      </c>
      <c r="U211" s="69">
        <v>3201000</v>
      </c>
      <c r="V211" s="69">
        <v>4148307</v>
      </c>
      <c r="W211" s="69">
        <v>16626676</v>
      </c>
      <c r="X211" s="69">
        <v>15214856</v>
      </c>
      <c r="Y211" s="69">
        <v>8328307</v>
      </c>
      <c r="Z211" s="69">
        <v>16553418</v>
      </c>
      <c r="AA211" s="69">
        <v>17924532</v>
      </c>
      <c r="AB211" s="69">
        <v>17429415</v>
      </c>
      <c r="AC211" s="69">
        <v>4562397</v>
      </c>
      <c r="AD211" s="69">
        <v>1635396</v>
      </c>
      <c r="AE211" s="69">
        <v>4319631</v>
      </c>
      <c r="AF211" s="69">
        <v>1563207</v>
      </c>
      <c r="AG211" s="69">
        <v>1922561</v>
      </c>
      <c r="AH211" s="69">
        <v>1484330</v>
      </c>
      <c r="AI211" s="69">
        <v>1961925</v>
      </c>
      <c r="AJ211" s="69">
        <v>1029141</v>
      </c>
      <c r="AK211" s="69">
        <v>408061</v>
      </c>
      <c r="AL211" s="69">
        <v>629828</v>
      </c>
      <c r="AM211" s="69">
        <v>602914</v>
      </c>
      <c r="AN211" s="69">
        <v>360772</v>
      </c>
      <c r="AO211" s="69">
        <v>569749</v>
      </c>
      <c r="AP211" s="69">
        <v>143543</v>
      </c>
      <c r="AQ211" s="69">
        <v>1853715</v>
      </c>
      <c r="AR211" s="69">
        <v>13643</v>
      </c>
      <c r="AS211" s="69">
        <v>59618</v>
      </c>
      <c r="AT211" s="69">
        <v>430476</v>
      </c>
      <c r="AU211" s="69">
        <v>167677</v>
      </c>
      <c r="AV211">
        <v>0</v>
      </c>
      <c r="AW211">
        <v>0</v>
      </c>
      <c r="AX211">
        <v>0</v>
      </c>
    </row>
    <row r="212" spans="1:50" ht="14.5" x14ac:dyDescent="0.35">
      <c r="A212" s="68" t="s">
        <v>411</v>
      </c>
      <c r="B212" s="68" t="str">
        <f>VLOOKUP(Tabelle_Abfrage_von_MS_Access_Database[[#This Row],[LAND]],Texte!$A$4:$C$261,Texte!$A$1+1,FALSE)</f>
        <v>Südkorea</v>
      </c>
      <c r="C212" s="68" t="s">
        <v>508</v>
      </c>
      <c r="D212" s="68" t="s">
        <v>557</v>
      </c>
      <c r="E212" s="69">
        <v>11574000</v>
      </c>
      <c r="F212" s="69">
        <v>42163000</v>
      </c>
      <c r="G212" s="69">
        <v>42176000</v>
      </c>
      <c r="H212" s="69">
        <v>15819000</v>
      </c>
      <c r="I212" s="69">
        <v>22424000</v>
      </c>
      <c r="J212" s="69">
        <v>24245000</v>
      </c>
      <c r="K212" s="69">
        <v>37395000</v>
      </c>
      <c r="L212" s="69">
        <v>57615000</v>
      </c>
      <c r="M212" s="69">
        <v>64126000</v>
      </c>
      <c r="N212" s="69">
        <v>79644000</v>
      </c>
      <c r="O212" s="69">
        <v>69597000</v>
      </c>
      <c r="P212" s="69">
        <v>93039000</v>
      </c>
      <c r="Q212" s="69">
        <v>107243000</v>
      </c>
      <c r="R212" s="69">
        <v>121183000</v>
      </c>
      <c r="S212" s="69">
        <v>108822000</v>
      </c>
      <c r="T212" s="69">
        <v>163051000</v>
      </c>
      <c r="U212" s="69">
        <v>191582000</v>
      </c>
      <c r="V212" s="69">
        <v>234296625</v>
      </c>
      <c r="W212" s="69">
        <v>236232042</v>
      </c>
      <c r="X212" s="69">
        <v>260281529</v>
      </c>
      <c r="Y212" s="69">
        <v>168386653</v>
      </c>
      <c r="Z212" s="69">
        <v>193769379</v>
      </c>
      <c r="AA212" s="69">
        <v>268983383</v>
      </c>
      <c r="AB212" s="69">
        <v>306851625</v>
      </c>
      <c r="AC212" s="69">
        <v>350406868</v>
      </c>
      <c r="AD212" s="69">
        <v>336951399</v>
      </c>
      <c r="AE212" s="69">
        <v>387656222</v>
      </c>
      <c r="AF212" s="69">
        <v>470833783</v>
      </c>
      <c r="AG212" s="69">
        <v>554356209</v>
      </c>
      <c r="AH212" s="69">
        <v>606433116</v>
      </c>
      <c r="AI212" s="69">
        <v>657850873</v>
      </c>
      <c r="AJ212" s="69">
        <v>564930757</v>
      </c>
      <c r="AK212" s="69">
        <v>711665975</v>
      </c>
      <c r="AL212" s="69">
        <v>935405931</v>
      </c>
      <c r="AM212" s="69">
        <v>941566454</v>
      </c>
      <c r="AN212" s="69">
        <v>848558205</v>
      </c>
      <c r="AO212" s="69">
        <v>861328108</v>
      </c>
      <c r="AP212" s="69">
        <v>845936789</v>
      </c>
      <c r="AQ212" s="69">
        <v>850886234</v>
      </c>
      <c r="AR212" s="69">
        <v>1289718915</v>
      </c>
      <c r="AS212" s="69">
        <v>1328256081</v>
      </c>
      <c r="AT212" s="69">
        <v>1181255634</v>
      </c>
      <c r="AU212" s="69">
        <v>1139854612</v>
      </c>
      <c r="AV212">
        <v>1289582970</v>
      </c>
      <c r="AW212">
        <v>1759943111</v>
      </c>
      <c r="AX212">
        <v>1451741653</v>
      </c>
    </row>
    <row r="213" spans="1:50" ht="14.5" x14ac:dyDescent="0.35">
      <c r="A213" s="68" t="s">
        <v>413</v>
      </c>
      <c r="B213" s="68" t="str">
        <f>VLOOKUP(Tabelle_Abfrage_von_MS_Access_Database[[#This Row],[LAND]],Texte!$A$4:$C$261,Texte!$A$1+1,FALSE)</f>
        <v>Japan</v>
      </c>
      <c r="C213" s="68" t="s">
        <v>508</v>
      </c>
      <c r="D213" s="68" t="s">
        <v>557</v>
      </c>
      <c r="E213" s="69">
        <v>72385000</v>
      </c>
      <c r="F213" s="69">
        <v>111037000</v>
      </c>
      <c r="G213" s="69">
        <v>130673000</v>
      </c>
      <c r="H213" s="69">
        <v>157706000</v>
      </c>
      <c r="I213" s="69">
        <v>170175000</v>
      </c>
      <c r="J213" s="69">
        <v>205665000</v>
      </c>
      <c r="K213" s="69">
        <v>238130000</v>
      </c>
      <c r="L213" s="69">
        <v>242991000</v>
      </c>
      <c r="M213" s="69">
        <v>287166000</v>
      </c>
      <c r="N213" s="69">
        <v>289767000</v>
      </c>
      <c r="O213" s="69">
        <v>362998000</v>
      </c>
      <c r="P213" s="69">
        <v>453537000</v>
      </c>
      <c r="Q213" s="69">
        <v>540197000</v>
      </c>
      <c r="R213" s="69">
        <v>595499000</v>
      </c>
      <c r="S213" s="69">
        <v>544490000</v>
      </c>
      <c r="T213" s="69">
        <v>521149000</v>
      </c>
      <c r="U213" s="69">
        <v>579552000</v>
      </c>
      <c r="V213" s="69">
        <v>551614267</v>
      </c>
      <c r="W213" s="69">
        <v>687321037</v>
      </c>
      <c r="X213" s="69">
        <v>652314756</v>
      </c>
      <c r="Y213" s="69">
        <v>521267389</v>
      </c>
      <c r="Z213" s="69">
        <v>730277593</v>
      </c>
      <c r="AA213" s="69">
        <v>913814704</v>
      </c>
      <c r="AB213" s="69">
        <v>908613655</v>
      </c>
      <c r="AC213" s="69">
        <v>912225133</v>
      </c>
      <c r="AD213" s="69">
        <v>855264456</v>
      </c>
      <c r="AE213" s="69">
        <v>1050859717</v>
      </c>
      <c r="AF213" s="69">
        <v>1025115850</v>
      </c>
      <c r="AG213" s="69">
        <v>1099849743</v>
      </c>
      <c r="AH213" s="69">
        <v>1127413027</v>
      </c>
      <c r="AI213" s="69">
        <v>1002192619</v>
      </c>
      <c r="AJ213" s="69">
        <v>772034554</v>
      </c>
      <c r="AK213" s="69">
        <v>1023466653</v>
      </c>
      <c r="AL213" s="69">
        <v>1294338851</v>
      </c>
      <c r="AM213" s="69">
        <v>1313385205</v>
      </c>
      <c r="AN213" s="69">
        <v>1346001875</v>
      </c>
      <c r="AO213" s="69">
        <v>1330802814</v>
      </c>
      <c r="AP213" s="69">
        <v>1349684113</v>
      </c>
      <c r="AQ213" s="69">
        <v>1332309665</v>
      </c>
      <c r="AR213" s="69">
        <v>1382183024</v>
      </c>
      <c r="AS213" s="69">
        <v>1529405761</v>
      </c>
      <c r="AT213" s="69">
        <v>1612886349</v>
      </c>
      <c r="AU213" s="69">
        <v>1522093662</v>
      </c>
      <c r="AV213">
        <v>1704191312</v>
      </c>
      <c r="AW213">
        <v>1787358229</v>
      </c>
      <c r="AX213">
        <v>1777315456</v>
      </c>
    </row>
    <row r="214" spans="1:50" ht="14.5" x14ac:dyDescent="0.35">
      <c r="A214" s="68" t="s">
        <v>415</v>
      </c>
      <c r="B214" s="68" t="str">
        <f>VLOOKUP(Tabelle_Abfrage_von_MS_Access_Database[[#This Row],[LAND]],Texte!$A$4:$C$261,Texte!$A$1+1,FALSE)</f>
        <v>Taiwan</v>
      </c>
      <c r="C214" s="68" t="s">
        <v>508</v>
      </c>
      <c r="D214" s="68" t="s">
        <v>557</v>
      </c>
      <c r="E214" s="69">
        <v>5966000</v>
      </c>
      <c r="F214" s="69">
        <v>7489000</v>
      </c>
      <c r="G214" s="69">
        <v>12426000</v>
      </c>
      <c r="H214" s="69">
        <v>18304000</v>
      </c>
      <c r="I214" s="69">
        <v>19192000</v>
      </c>
      <c r="J214" s="69">
        <v>21251000</v>
      </c>
      <c r="K214" s="69">
        <v>26763000</v>
      </c>
      <c r="L214" s="69">
        <v>39163000</v>
      </c>
      <c r="M214" s="69">
        <v>34318000</v>
      </c>
      <c r="N214" s="69">
        <v>39921000</v>
      </c>
      <c r="O214" s="69">
        <v>64796000</v>
      </c>
      <c r="P214" s="69">
        <v>138095000</v>
      </c>
      <c r="Q214" s="69">
        <v>82532000</v>
      </c>
      <c r="R214" s="69">
        <v>85245000</v>
      </c>
      <c r="S214" s="69">
        <v>108328000</v>
      </c>
      <c r="T214" s="69">
        <v>115460000</v>
      </c>
      <c r="U214" s="69">
        <v>140127000</v>
      </c>
      <c r="V214" s="69">
        <v>154653007</v>
      </c>
      <c r="W214" s="69">
        <v>155877689</v>
      </c>
      <c r="X214" s="69">
        <v>182875222</v>
      </c>
      <c r="Y214" s="69">
        <v>185377223</v>
      </c>
      <c r="Z214" s="69">
        <v>210665820</v>
      </c>
      <c r="AA214" s="69">
        <v>251600318</v>
      </c>
      <c r="AB214" s="69">
        <v>234989822</v>
      </c>
      <c r="AC214" s="69">
        <v>190914650</v>
      </c>
      <c r="AD214" s="69">
        <v>221190276</v>
      </c>
      <c r="AE214" s="69">
        <v>222102313</v>
      </c>
      <c r="AF214" s="69">
        <v>281715535</v>
      </c>
      <c r="AG214" s="69">
        <v>333284116</v>
      </c>
      <c r="AH214" s="69">
        <v>266448889</v>
      </c>
      <c r="AI214" s="69">
        <v>223576021</v>
      </c>
      <c r="AJ214" s="69">
        <v>212093016</v>
      </c>
      <c r="AK214" s="69">
        <v>335844767</v>
      </c>
      <c r="AL214" s="69">
        <v>336490605</v>
      </c>
      <c r="AM214" s="69">
        <v>299611882</v>
      </c>
      <c r="AN214" s="69">
        <v>336314670</v>
      </c>
      <c r="AO214" s="69">
        <v>359459042</v>
      </c>
      <c r="AP214" s="69">
        <v>443706568</v>
      </c>
      <c r="AQ214" s="69">
        <v>395193427</v>
      </c>
      <c r="AR214" s="69">
        <v>384318395</v>
      </c>
      <c r="AS214" s="69">
        <v>499640279</v>
      </c>
      <c r="AT214" s="69">
        <v>637463687</v>
      </c>
      <c r="AU214" s="69">
        <v>581392578</v>
      </c>
      <c r="AV214">
        <v>782519992</v>
      </c>
      <c r="AW214">
        <v>910261748</v>
      </c>
      <c r="AX214">
        <v>763874523</v>
      </c>
    </row>
    <row r="215" spans="1:50" ht="14.5" x14ac:dyDescent="0.35">
      <c r="A215" s="68" t="s">
        <v>417</v>
      </c>
      <c r="B215" s="68" t="str">
        <f>VLOOKUP(Tabelle_Abfrage_von_MS_Access_Database[[#This Row],[LAND]],Texte!$A$4:$C$261,Texte!$A$1+1,FALSE)</f>
        <v>Hongkong</v>
      </c>
      <c r="C215" s="68" t="s">
        <v>508</v>
      </c>
      <c r="D215" s="68" t="s">
        <v>557</v>
      </c>
      <c r="E215" s="69">
        <v>22244000</v>
      </c>
      <c r="F215" s="69">
        <v>20181000</v>
      </c>
      <c r="G215" s="69">
        <v>20374000</v>
      </c>
      <c r="H215" s="69">
        <v>31181000</v>
      </c>
      <c r="I215" s="69">
        <v>32854000</v>
      </c>
      <c r="J215" s="69">
        <v>36948000</v>
      </c>
      <c r="K215" s="69">
        <v>54514000</v>
      </c>
      <c r="L215" s="69">
        <v>70045000</v>
      </c>
      <c r="M215" s="69">
        <v>73364000</v>
      </c>
      <c r="N215" s="69">
        <v>70023000</v>
      </c>
      <c r="O215" s="69">
        <v>91607000</v>
      </c>
      <c r="P215" s="69">
        <v>113578000</v>
      </c>
      <c r="Q215" s="69">
        <v>139263000</v>
      </c>
      <c r="R215" s="69">
        <v>145163000</v>
      </c>
      <c r="S215" s="69">
        <v>169380000</v>
      </c>
      <c r="T215" s="69">
        <v>188370000</v>
      </c>
      <c r="U215" s="69">
        <v>204217000</v>
      </c>
      <c r="V215" s="69">
        <v>236601221</v>
      </c>
      <c r="W215" s="69">
        <v>218111729</v>
      </c>
      <c r="X215" s="69">
        <v>282257772</v>
      </c>
      <c r="Y215" s="69">
        <v>224771769</v>
      </c>
      <c r="Z215" s="69">
        <v>235340279</v>
      </c>
      <c r="AA215" s="69">
        <v>525429076</v>
      </c>
      <c r="AB215" s="69">
        <v>402735260</v>
      </c>
      <c r="AC215" s="69">
        <v>575988325</v>
      </c>
      <c r="AD215" s="69">
        <v>432087192</v>
      </c>
      <c r="AE215" s="69">
        <v>393372113</v>
      </c>
      <c r="AF215" s="69">
        <v>432040764</v>
      </c>
      <c r="AG215" s="69">
        <v>449520552</v>
      </c>
      <c r="AH215" s="69">
        <v>470519335</v>
      </c>
      <c r="AI215" s="69">
        <v>452645815</v>
      </c>
      <c r="AJ215" s="69">
        <v>440555006</v>
      </c>
      <c r="AK215" s="69">
        <v>540438927</v>
      </c>
      <c r="AL215" s="69">
        <v>513740918</v>
      </c>
      <c r="AM215" s="69">
        <v>595815151</v>
      </c>
      <c r="AN215" s="69">
        <v>546562513</v>
      </c>
      <c r="AO215" s="69">
        <v>520250699</v>
      </c>
      <c r="AP215" s="69">
        <v>561131538</v>
      </c>
      <c r="AQ215" s="69">
        <v>495342877</v>
      </c>
      <c r="AR215" s="69">
        <v>530775141</v>
      </c>
      <c r="AS215" s="69">
        <v>506466607</v>
      </c>
      <c r="AT215" s="69">
        <v>501836208</v>
      </c>
      <c r="AU215" s="69">
        <v>404200031</v>
      </c>
      <c r="AV215">
        <v>499922460</v>
      </c>
      <c r="AW215">
        <v>467302486</v>
      </c>
      <c r="AX215">
        <v>464661759</v>
      </c>
    </row>
    <row r="216" spans="1:50" ht="14.5" x14ac:dyDescent="0.35">
      <c r="A216" s="68" t="s">
        <v>419</v>
      </c>
      <c r="B216" s="68" t="str">
        <f>VLOOKUP(Tabelle_Abfrage_von_MS_Access_Database[[#This Row],[LAND]],Texte!$A$4:$C$261,Texte!$A$1+1,FALSE)</f>
        <v>Macau</v>
      </c>
      <c r="C216" s="68" t="s">
        <v>508</v>
      </c>
      <c r="D216" s="68" t="s">
        <v>557</v>
      </c>
      <c r="E216" s="69">
        <v>1000</v>
      </c>
      <c r="F216" s="69">
        <v>0</v>
      </c>
      <c r="G216" s="69">
        <v>0</v>
      </c>
      <c r="H216" s="69">
        <v>0</v>
      </c>
      <c r="I216" s="69">
        <v>1000</v>
      </c>
      <c r="J216" s="69">
        <v>51000</v>
      </c>
      <c r="K216" s="69">
        <v>1124000</v>
      </c>
      <c r="L216" s="69">
        <v>353000</v>
      </c>
      <c r="M216" s="69">
        <v>91000</v>
      </c>
      <c r="N216" s="69">
        <v>50000</v>
      </c>
      <c r="O216" s="69">
        <v>242000</v>
      </c>
      <c r="P216" s="69">
        <v>36000</v>
      </c>
      <c r="Q216" s="69">
        <v>186000</v>
      </c>
      <c r="R216" s="69">
        <v>127000</v>
      </c>
      <c r="S216" s="69">
        <v>26000</v>
      </c>
      <c r="T216" s="69">
        <v>228000</v>
      </c>
      <c r="U216" s="69">
        <v>98000</v>
      </c>
      <c r="V216" s="69">
        <v>167584</v>
      </c>
      <c r="W216" s="69">
        <v>482112</v>
      </c>
      <c r="X216" s="69">
        <v>791407</v>
      </c>
      <c r="Y216" s="69">
        <v>448972</v>
      </c>
      <c r="Z216" s="69">
        <v>1125194</v>
      </c>
      <c r="AA216" s="69">
        <v>1334564</v>
      </c>
      <c r="AB216" s="69">
        <v>994037</v>
      </c>
      <c r="AC216" s="69">
        <v>1867710</v>
      </c>
      <c r="AD216" s="69">
        <v>2887037</v>
      </c>
      <c r="AE216" s="69">
        <v>3810956</v>
      </c>
      <c r="AF216" s="69">
        <v>5299490</v>
      </c>
      <c r="AG216" s="69">
        <v>10199377</v>
      </c>
      <c r="AH216" s="69">
        <v>10292026</v>
      </c>
      <c r="AI216" s="69">
        <v>7909455</v>
      </c>
      <c r="AJ216" s="69">
        <v>6569307</v>
      </c>
      <c r="AK216" s="69">
        <v>2866304</v>
      </c>
      <c r="AL216" s="69">
        <v>2685516</v>
      </c>
      <c r="AM216" s="69">
        <v>3449853</v>
      </c>
      <c r="AN216" s="69">
        <v>5897757</v>
      </c>
      <c r="AO216" s="69">
        <v>9898477</v>
      </c>
      <c r="AP216" s="69">
        <v>19523883</v>
      </c>
      <c r="AQ216" s="69">
        <v>2551311</v>
      </c>
      <c r="AR216" s="69">
        <v>2488236</v>
      </c>
      <c r="AS216" s="69">
        <v>3345909</v>
      </c>
      <c r="AT216" s="69">
        <v>3585925</v>
      </c>
      <c r="AU216" s="69">
        <v>5280418</v>
      </c>
      <c r="AV216">
        <v>6238807</v>
      </c>
      <c r="AW216">
        <v>7124772</v>
      </c>
      <c r="AX216">
        <v>7292597</v>
      </c>
    </row>
    <row r="217" spans="1:50" ht="14.5" x14ac:dyDescent="0.35">
      <c r="A217" s="68" t="s">
        <v>421</v>
      </c>
      <c r="B217" s="68" t="str">
        <f>VLOOKUP(Tabelle_Abfrage_von_MS_Access_Database[[#This Row],[LAND]],Texte!$A$4:$C$261,Texte!$A$1+1,FALSE)</f>
        <v>Australien</v>
      </c>
      <c r="C217" s="68" t="s">
        <v>508</v>
      </c>
      <c r="D217" s="68" t="s">
        <v>557</v>
      </c>
      <c r="E217" s="69">
        <v>47506000</v>
      </c>
      <c r="F217" s="69">
        <v>40127000</v>
      </c>
      <c r="G217" s="69">
        <v>45714000</v>
      </c>
      <c r="H217" s="69">
        <v>64058000</v>
      </c>
      <c r="I217" s="69">
        <v>70187000</v>
      </c>
      <c r="J217" s="69">
        <v>62114000</v>
      </c>
      <c r="K217" s="69">
        <v>92573000</v>
      </c>
      <c r="L217" s="69">
        <v>112810000</v>
      </c>
      <c r="M217" s="69">
        <v>96385000</v>
      </c>
      <c r="N217" s="69">
        <v>96532000</v>
      </c>
      <c r="O217" s="69">
        <v>117193000</v>
      </c>
      <c r="P217" s="69">
        <v>135687000</v>
      </c>
      <c r="Q217" s="69">
        <v>148019000</v>
      </c>
      <c r="R217" s="69">
        <v>116695000</v>
      </c>
      <c r="S217" s="69">
        <v>132142000</v>
      </c>
      <c r="T217" s="69">
        <v>118485000</v>
      </c>
      <c r="U217" s="69">
        <v>140291000</v>
      </c>
      <c r="V217" s="69">
        <v>182864461</v>
      </c>
      <c r="W217" s="69">
        <v>247111686</v>
      </c>
      <c r="X217" s="69">
        <v>244842255</v>
      </c>
      <c r="Y217" s="69">
        <v>236986464</v>
      </c>
      <c r="Z217" s="69">
        <v>294599472</v>
      </c>
      <c r="AA217" s="69">
        <v>302573556</v>
      </c>
      <c r="AB217" s="69">
        <v>257680562</v>
      </c>
      <c r="AC217" s="69">
        <v>374119704</v>
      </c>
      <c r="AD217" s="69">
        <v>442394266</v>
      </c>
      <c r="AE217" s="69">
        <v>506961307</v>
      </c>
      <c r="AF217" s="69">
        <v>566008157</v>
      </c>
      <c r="AG217" s="69">
        <v>614388574</v>
      </c>
      <c r="AH217" s="69">
        <v>664074574</v>
      </c>
      <c r="AI217" s="69">
        <v>749565413</v>
      </c>
      <c r="AJ217" s="69">
        <v>599815736</v>
      </c>
      <c r="AK217" s="69">
        <v>647006932</v>
      </c>
      <c r="AL217" s="69">
        <v>678074770</v>
      </c>
      <c r="AM217" s="69">
        <v>755439802</v>
      </c>
      <c r="AN217" s="69">
        <v>751727150</v>
      </c>
      <c r="AO217" s="69">
        <v>792934205</v>
      </c>
      <c r="AP217" s="69">
        <v>761516917</v>
      </c>
      <c r="AQ217" s="69">
        <v>1038751913</v>
      </c>
      <c r="AR217" s="69">
        <v>1141179511</v>
      </c>
      <c r="AS217" s="69">
        <v>1181265776</v>
      </c>
      <c r="AT217" s="69">
        <v>1530903260</v>
      </c>
      <c r="AU217" s="69">
        <v>987780735</v>
      </c>
      <c r="AV217">
        <v>1106848766</v>
      </c>
      <c r="AW217">
        <v>1243201917</v>
      </c>
      <c r="AX217">
        <v>1297457750</v>
      </c>
    </row>
    <row r="218" spans="1:50" ht="14.5" x14ac:dyDescent="0.35">
      <c r="A218" s="68" t="s">
        <v>423</v>
      </c>
      <c r="B218" s="68" t="str">
        <f>VLOOKUP(Tabelle_Abfrage_von_MS_Access_Database[[#This Row],[LAND]],Texte!$A$4:$C$261,Texte!$A$1+1,FALSE)</f>
        <v>Papua-Neuguinea</v>
      </c>
      <c r="C218" s="68" t="s">
        <v>508</v>
      </c>
      <c r="D218" s="68" t="s">
        <v>557</v>
      </c>
      <c r="E218" s="69">
        <v>380000</v>
      </c>
      <c r="F218" s="69">
        <v>178000</v>
      </c>
      <c r="G218" s="69">
        <v>180000</v>
      </c>
      <c r="H218" s="69">
        <v>591000</v>
      </c>
      <c r="I218" s="69">
        <v>1366000</v>
      </c>
      <c r="J218" s="69">
        <v>1326000</v>
      </c>
      <c r="K218" s="69">
        <v>215000</v>
      </c>
      <c r="L218" s="69">
        <v>766000</v>
      </c>
      <c r="M218" s="69">
        <v>109000</v>
      </c>
      <c r="N218" s="69">
        <v>215000</v>
      </c>
      <c r="O218" s="69">
        <v>2571000</v>
      </c>
      <c r="P218" s="69">
        <v>531000</v>
      </c>
      <c r="Q218" s="69">
        <v>288000</v>
      </c>
      <c r="R218" s="69">
        <v>197000</v>
      </c>
      <c r="S218" s="69">
        <v>326000</v>
      </c>
      <c r="T218" s="69">
        <v>334000</v>
      </c>
      <c r="U218" s="69">
        <v>118000</v>
      </c>
      <c r="V218" s="69">
        <v>129504</v>
      </c>
      <c r="W218" s="69">
        <v>201231</v>
      </c>
      <c r="X218" s="69">
        <v>145852</v>
      </c>
      <c r="Y218" s="69">
        <v>221944</v>
      </c>
      <c r="Z218" s="69">
        <v>282623</v>
      </c>
      <c r="AA218" s="69">
        <v>176813</v>
      </c>
      <c r="AB218" s="69">
        <v>118051</v>
      </c>
      <c r="AC218" s="69">
        <v>36999</v>
      </c>
      <c r="AD218" s="69">
        <v>234160</v>
      </c>
      <c r="AE218" s="69">
        <v>46729</v>
      </c>
      <c r="AF218" s="69">
        <v>76437</v>
      </c>
      <c r="AG218" s="69">
        <v>143755</v>
      </c>
      <c r="AH218" s="69">
        <v>4491627</v>
      </c>
      <c r="AI218" s="69">
        <v>460065</v>
      </c>
      <c r="AJ218" s="69">
        <v>787732</v>
      </c>
      <c r="AK218" s="69">
        <v>509413</v>
      </c>
      <c r="AL218" s="69">
        <v>989518</v>
      </c>
      <c r="AM218" s="69">
        <v>4353472</v>
      </c>
      <c r="AN218" s="69">
        <v>7185295</v>
      </c>
      <c r="AO218" s="69">
        <v>961742</v>
      </c>
      <c r="AP218" s="69">
        <v>928148</v>
      </c>
      <c r="AQ218" s="69">
        <v>1749893</v>
      </c>
      <c r="AR218" s="69">
        <v>902962</v>
      </c>
      <c r="AS218" s="69">
        <v>2391441</v>
      </c>
      <c r="AT218" s="69">
        <v>1546442</v>
      </c>
      <c r="AU218" s="69">
        <v>3297036</v>
      </c>
      <c r="AV218">
        <v>1082582</v>
      </c>
      <c r="AW218">
        <v>3374265</v>
      </c>
      <c r="AX218">
        <v>1542168</v>
      </c>
    </row>
    <row r="219" spans="1:50" ht="14.5" x14ac:dyDescent="0.35">
      <c r="A219" s="68" t="s">
        <v>425</v>
      </c>
      <c r="B219" s="68" t="str">
        <f>VLOOKUP(Tabelle_Abfrage_von_MS_Access_Database[[#This Row],[LAND]],Texte!$A$4:$C$261,Texte!$A$1+1,FALSE)</f>
        <v>Austral.Ozeanien</v>
      </c>
      <c r="C219" s="68" t="s">
        <v>525</v>
      </c>
      <c r="D219" s="68" t="s">
        <v>531</v>
      </c>
      <c r="E219" s="69">
        <v>0</v>
      </c>
      <c r="F219" s="69">
        <v>0</v>
      </c>
      <c r="G219" s="69">
        <v>0</v>
      </c>
      <c r="H219" s="69">
        <v>0</v>
      </c>
      <c r="I219" s="69">
        <v>0</v>
      </c>
      <c r="J219" s="69">
        <v>0</v>
      </c>
      <c r="K219" s="69">
        <v>0</v>
      </c>
      <c r="L219" s="69">
        <v>0</v>
      </c>
      <c r="M219" s="69">
        <v>0</v>
      </c>
      <c r="N219" s="69">
        <v>0</v>
      </c>
      <c r="O219" s="69">
        <v>0</v>
      </c>
      <c r="P219" s="69">
        <v>0</v>
      </c>
      <c r="Q219" s="69">
        <v>0</v>
      </c>
      <c r="R219" s="69">
        <v>0</v>
      </c>
      <c r="S219" s="69">
        <v>0</v>
      </c>
      <c r="T219" s="69">
        <v>0</v>
      </c>
      <c r="U219" s="69">
        <v>0</v>
      </c>
      <c r="V219" s="69">
        <v>9447</v>
      </c>
      <c r="W219" s="69">
        <v>0</v>
      </c>
      <c r="X219" s="69">
        <v>0</v>
      </c>
      <c r="Y219" s="69">
        <v>8502</v>
      </c>
      <c r="Z219" s="69">
        <v>11046</v>
      </c>
      <c r="AA219" s="69">
        <v>2616</v>
      </c>
      <c r="AB219" s="70"/>
      <c r="AC219" s="70"/>
      <c r="AD219" s="70"/>
      <c r="AE219" s="70"/>
      <c r="AF219" s="70"/>
      <c r="AG219" s="70"/>
      <c r="AH219" s="70"/>
      <c r="AI219" s="70"/>
      <c r="AJ219" s="70"/>
      <c r="AK219" s="70"/>
      <c r="AL219" s="70"/>
      <c r="AM219" s="70"/>
      <c r="AN219" s="70"/>
      <c r="AO219" s="70"/>
      <c r="AP219" s="70"/>
      <c r="AQ219" s="70"/>
      <c r="AR219" s="70"/>
      <c r="AS219" s="70"/>
      <c r="AT219" s="70"/>
      <c r="AU219" s="70"/>
    </row>
    <row r="220" spans="1:50" ht="14.5" x14ac:dyDescent="0.35">
      <c r="A220" s="68" t="s">
        <v>427</v>
      </c>
      <c r="B220" s="68" t="str">
        <f>VLOOKUP(Tabelle_Abfrage_von_MS_Access_Database[[#This Row],[LAND]],Texte!$A$4:$C$261,Texte!$A$1+1,FALSE)</f>
        <v>Nauru</v>
      </c>
      <c r="C220" s="68" t="s">
        <v>508</v>
      </c>
      <c r="D220" s="68" t="s">
        <v>557</v>
      </c>
      <c r="E220" s="69">
        <v>0</v>
      </c>
      <c r="F220" s="69">
        <v>0</v>
      </c>
      <c r="G220" s="69">
        <v>0</v>
      </c>
      <c r="H220" s="69">
        <v>1000</v>
      </c>
      <c r="I220" s="69">
        <v>6000</v>
      </c>
      <c r="J220" s="69">
        <v>0</v>
      </c>
      <c r="K220" s="69">
        <v>1000</v>
      </c>
      <c r="L220" s="69">
        <v>5000</v>
      </c>
      <c r="M220" s="69">
        <v>5000</v>
      </c>
      <c r="N220" s="69">
        <v>0</v>
      </c>
      <c r="O220" s="69">
        <v>1000</v>
      </c>
      <c r="P220" s="69">
        <v>30000</v>
      </c>
      <c r="Q220" s="69">
        <v>4000</v>
      </c>
      <c r="R220" s="69">
        <v>23000</v>
      </c>
      <c r="S220" s="69">
        <v>170000</v>
      </c>
      <c r="T220" s="69">
        <v>9000</v>
      </c>
      <c r="U220" s="69">
        <v>13000</v>
      </c>
      <c r="V220" s="69">
        <v>479931</v>
      </c>
      <c r="W220" s="69">
        <v>0</v>
      </c>
      <c r="X220" s="69">
        <v>39099</v>
      </c>
      <c r="Y220" s="69">
        <v>2253</v>
      </c>
      <c r="Z220" s="69">
        <v>1235</v>
      </c>
      <c r="AA220" s="69">
        <v>1671</v>
      </c>
      <c r="AB220" s="69">
        <v>0</v>
      </c>
      <c r="AC220" s="69">
        <v>26111</v>
      </c>
      <c r="AD220" s="69">
        <v>0</v>
      </c>
      <c r="AE220" s="69">
        <v>1253</v>
      </c>
      <c r="AF220" s="69">
        <v>0</v>
      </c>
      <c r="AG220" s="69">
        <v>3006</v>
      </c>
      <c r="AH220" s="69">
        <v>3451</v>
      </c>
      <c r="AI220" s="69">
        <v>46528</v>
      </c>
      <c r="AJ220" s="69">
        <v>1005090</v>
      </c>
      <c r="AK220" s="69">
        <v>511</v>
      </c>
      <c r="AL220" s="69">
        <v>294104</v>
      </c>
      <c r="AM220" s="69">
        <v>0</v>
      </c>
      <c r="AN220" s="69">
        <v>1892</v>
      </c>
      <c r="AO220" s="70"/>
      <c r="AP220" s="69">
        <v>30610</v>
      </c>
      <c r="AQ220" s="69">
        <v>3305</v>
      </c>
      <c r="AR220" s="69">
        <v>0</v>
      </c>
      <c r="AS220" s="69">
        <v>56598</v>
      </c>
      <c r="AT220" s="69">
        <v>0</v>
      </c>
      <c r="AU220" s="69">
        <v>8354</v>
      </c>
      <c r="AV220">
        <v>0</v>
      </c>
      <c r="AW220">
        <v>131221</v>
      </c>
      <c r="AX220">
        <v>0</v>
      </c>
    </row>
    <row r="221" spans="1:50" ht="14.5" x14ac:dyDescent="0.35">
      <c r="A221" s="68" t="s">
        <v>429</v>
      </c>
      <c r="B221" s="68" t="str">
        <f>VLOOKUP(Tabelle_Abfrage_von_MS_Access_Database[[#This Row],[LAND]],Texte!$A$4:$C$261,Texte!$A$1+1,FALSE)</f>
        <v>Neuseeland</v>
      </c>
      <c r="C221" s="68" t="s">
        <v>508</v>
      </c>
      <c r="D221" s="68" t="s">
        <v>557</v>
      </c>
      <c r="E221" s="69">
        <v>7348000</v>
      </c>
      <c r="F221" s="69">
        <v>7738000</v>
      </c>
      <c r="G221" s="69">
        <v>7258000</v>
      </c>
      <c r="H221" s="69">
        <v>10289000</v>
      </c>
      <c r="I221" s="69">
        <v>11412000</v>
      </c>
      <c r="J221" s="69">
        <v>13897000</v>
      </c>
      <c r="K221" s="69">
        <v>16162000</v>
      </c>
      <c r="L221" s="69">
        <v>20616000</v>
      </c>
      <c r="M221" s="69">
        <v>19799000</v>
      </c>
      <c r="N221" s="69">
        <v>20238000</v>
      </c>
      <c r="O221" s="69">
        <v>16512000</v>
      </c>
      <c r="P221" s="69">
        <v>21125000</v>
      </c>
      <c r="Q221" s="69">
        <v>20203000</v>
      </c>
      <c r="R221" s="69">
        <v>16653000</v>
      </c>
      <c r="S221" s="69">
        <v>20525000</v>
      </c>
      <c r="T221" s="69">
        <v>16565000</v>
      </c>
      <c r="U221" s="69">
        <v>21819000</v>
      </c>
      <c r="V221" s="69">
        <v>33632700</v>
      </c>
      <c r="W221" s="69">
        <v>31758742</v>
      </c>
      <c r="X221" s="69">
        <v>39149934</v>
      </c>
      <c r="Y221" s="69">
        <v>33167142</v>
      </c>
      <c r="Z221" s="69">
        <v>47031160</v>
      </c>
      <c r="AA221" s="69">
        <v>50187357</v>
      </c>
      <c r="AB221" s="69">
        <v>56471584</v>
      </c>
      <c r="AC221" s="69">
        <v>68738277</v>
      </c>
      <c r="AD221" s="69">
        <v>62266009</v>
      </c>
      <c r="AE221" s="69">
        <v>82442368</v>
      </c>
      <c r="AF221" s="69">
        <v>84085057</v>
      </c>
      <c r="AG221" s="69">
        <v>86500951</v>
      </c>
      <c r="AH221" s="69">
        <v>90808673</v>
      </c>
      <c r="AI221" s="69">
        <v>90424130</v>
      </c>
      <c r="AJ221" s="69">
        <v>67238921</v>
      </c>
      <c r="AK221" s="69">
        <v>69718825</v>
      </c>
      <c r="AL221" s="69">
        <v>81809343</v>
      </c>
      <c r="AM221" s="69">
        <v>84116180</v>
      </c>
      <c r="AN221" s="69">
        <v>118748885</v>
      </c>
      <c r="AO221" s="69">
        <v>152505518</v>
      </c>
      <c r="AP221" s="69">
        <v>114448784</v>
      </c>
      <c r="AQ221" s="69">
        <v>116866900</v>
      </c>
      <c r="AR221" s="69">
        <v>143883235</v>
      </c>
      <c r="AS221" s="69">
        <v>153663814</v>
      </c>
      <c r="AT221" s="69">
        <v>177430982</v>
      </c>
      <c r="AU221" s="69">
        <v>141566593</v>
      </c>
      <c r="AV221">
        <v>183373164</v>
      </c>
      <c r="AW221">
        <v>214864795</v>
      </c>
      <c r="AX221">
        <v>181566158</v>
      </c>
    </row>
    <row r="222" spans="1:50" ht="14.5" x14ac:dyDescent="0.35">
      <c r="A222" s="68" t="s">
        <v>431</v>
      </c>
      <c r="B222" s="68" t="str">
        <f>VLOOKUP(Tabelle_Abfrage_von_MS_Access_Database[[#This Row],[LAND]],Texte!$A$4:$C$261,Texte!$A$1+1,FALSE)</f>
        <v>Salomonen</v>
      </c>
      <c r="C222" s="68" t="s">
        <v>509</v>
      </c>
      <c r="D222" s="68" t="s">
        <v>557</v>
      </c>
      <c r="E222" s="69">
        <v>0</v>
      </c>
      <c r="F222" s="69">
        <v>0</v>
      </c>
      <c r="G222" s="69">
        <v>2000</v>
      </c>
      <c r="H222" s="69">
        <v>6000</v>
      </c>
      <c r="I222" s="69">
        <v>0</v>
      </c>
      <c r="J222" s="69">
        <v>10000</v>
      </c>
      <c r="K222" s="69">
        <v>0</v>
      </c>
      <c r="L222" s="69">
        <v>10000</v>
      </c>
      <c r="M222" s="69">
        <v>0</v>
      </c>
      <c r="N222" s="69">
        <v>0</v>
      </c>
      <c r="O222" s="69">
        <v>0</v>
      </c>
      <c r="P222" s="69">
        <v>5000</v>
      </c>
      <c r="Q222" s="69">
        <v>0</v>
      </c>
      <c r="R222" s="69">
        <v>1000</v>
      </c>
      <c r="S222" s="69">
        <v>465000</v>
      </c>
      <c r="T222" s="69">
        <v>372000</v>
      </c>
      <c r="U222" s="69">
        <v>25000</v>
      </c>
      <c r="V222" s="69">
        <v>78051</v>
      </c>
      <c r="W222" s="69">
        <v>4942</v>
      </c>
      <c r="X222" s="69">
        <v>0</v>
      </c>
      <c r="Y222" s="69">
        <v>1018</v>
      </c>
      <c r="Z222" s="69">
        <v>3707</v>
      </c>
      <c r="AA222" s="69">
        <v>0</v>
      </c>
      <c r="AB222" s="69">
        <v>25989</v>
      </c>
      <c r="AC222" s="69">
        <v>0</v>
      </c>
      <c r="AD222" s="69">
        <v>0</v>
      </c>
      <c r="AE222" s="69">
        <v>0</v>
      </c>
      <c r="AF222" s="69">
        <v>8058</v>
      </c>
      <c r="AG222" s="69">
        <v>4595</v>
      </c>
      <c r="AH222" s="69">
        <v>72640</v>
      </c>
      <c r="AI222" s="69">
        <v>16857</v>
      </c>
      <c r="AJ222" s="69">
        <v>9210</v>
      </c>
      <c r="AK222" s="69">
        <v>0</v>
      </c>
      <c r="AL222" s="69">
        <v>113975</v>
      </c>
      <c r="AM222" s="69">
        <v>564156</v>
      </c>
      <c r="AN222" s="69">
        <v>20421</v>
      </c>
      <c r="AO222" s="69">
        <v>4564</v>
      </c>
      <c r="AP222" s="69">
        <v>50485</v>
      </c>
      <c r="AQ222" s="69">
        <v>96307</v>
      </c>
      <c r="AR222" s="69">
        <v>55358</v>
      </c>
      <c r="AS222" s="69">
        <v>115941</v>
      </c>
      <c r="AT222" s="69">
        <v>153977</v>
      </c>
      <c r="AU222" s="69">
        <v>292566</v>
      </c>
      <c r="AV222">
        <v>93826</v>
      </c>
      <c r="AW222">
        <v>61267</v>
      </c>
      <c r="AX222">
        <v>125157</v>
      </c>
    </row>
    <row r="223" spans="1:50" ht="14.5" x14ac:dyDescent="0.35">
      <c r="A223" s="68" t="s">
        <v>433</v>
      </c>
      <c r="B223" s="68" t="str">
        <f>VLOOKUP(Tabelle_Abfrage_von_MS_Access_Database[[#This Row],[LAND]],Texte!$A$4:$C$261,Texte!$A$1+1,FALSE)</f>
        <v>Tuvalu</v>
      </c>
      <c r="C223" s="68" t="s">
        <v>519</v>
      </c>
      <c r="D223" s="68" t="s">
        <v>557</v>
      </c>
      <c r="E223" s="69">
        <v>0</v>
      </c>
      <c r="F223" s="69">
        <v>0</v>
      </c>
      <c r="G223" s="69">
        <v>0</v>
      </c>
      <c r="H223" s="69">
        <v>0</v>
      </c>
      <c r="I223" s="69">
        <v>0</v>
      </c>
      <c r="J223" s="69">
        <v>0</v>
      </c>
      <c r="K223" s="69">
        <v>0</v>
      </c>
      <c r="L223" s="69">
        <v>0</v>
      </c>
      <c r="M223" s="69">
        <v>0</v>
      </c>
      <c r="N223" s="69">
        <v>0</v>
      </c>
      <c r="O223" s="69">
        <v>0</v>
      </c>
      <c r="P223" s="69">
        <v>0</v>
      </c>
      <c r="Q223" s="69">
        <v>0</v>
      </c>
      <c r="R223" s="69">
        <v>0</v>
      </c>
      <c r="S223" s="69">
        <v>0</v>
      </c>
      <c r="T223" s="69">
        <v>0</v>
      </c>
      <c r="U223" s="69">
        <v>0</v>
      </c>
      <c r="V223" s="69">
        <v>37281</v>
      </c>
      <c r="W223" s="69">
        <v>0</v>
      </c>
      <c r="X223" s="69">
        <v>0</v>
      </c>
      <c r="Y223" s="69">
        <v>0</v>
      </c>
      <c r="Z223" s="69">
        <v>0</v>
      </c>
      <c r="AA223" s="69">
        <v>0</v>
      </c>
      <c r="AB223" s="69">
        <v>0</v>
      </c>
      <c r="AC223" s="69">
        <v>0</v>
      </c>
      <c r="AD223" s="69">
        <v>0</v>
      </c>
      <c r="AE223" s="69">
        <v>0</v>
      </c>
      <c r="AF223" s="70"/>
      <c r="AG223" s="69">
        <v>43209</v>
      </c>
      <c r="AH223" s="69">
        <v>14753</v>
      </c>
      <c r="AI223" s="69">
        <v>37618</v>
      </c>
      <c r="AJ223" s="70"/>
      <c r="AK223" s="69">
        <v>0</v>
      </c>
      <c r="AL223" s="70"/>
      <c r="AM223" s="70"/>
      <c r="AN223" s="70"/>
      <c r="AO223" s="70"/>
      <c r="AP223" s="69">
        <v>0</v>
      </c>
      <c r="AQ223" s="69">
        <v>0</v>
      </c>
      <c r="AR223" s="69">
        <v>46800</v>
      </c>
      <c r="AS223" s="69">
        <v>43</v>
      </c>
      <c r="AT223" s="69">
        <v>0</v>
      </c>
      <c r="AU223" s="69">
        <v>0</v>
      </c>
      <c r="AV223">
        <v>0</v>
      </c>
      <c r="AW223">
        <v>25000</v>
      </c>
      <c r="AX223">
        <v>0</v>
      </c>
    </row>
    <row r="224" spans="1:50" ht="14.5" x14ac:dyDescent="0.35">
      <c r="A224" s="68" t="s">
        <v>435</v>
      </c>
      <c r="B224" s="68" t="str">
        <f>VLOOKUP(Tabelle_Abfrage_von_MS_Access_Database[[#This Row],[LAND]],Texte!$A$4:$C$261,Texte!$A$1+1,FALSE)</f>
        <v>Neukaledonien</v>
      </c>
      <c r="C224" s="68" t="s">
        <v>525</v>
      </c>
      <c r="D224" s="68" t="s">
        <v>557</v>
      </c>
      <c r="E224" s="69">
        <v>0</v>
      </c>
      <c r="F224" s="69">
        <v>0</v>
      </c>
      <c r="G224" s="69">
        <v>0</v>
      </c>
      <c r="H224" s="69">
        <v>0</v>
      </c>
      <c r="I224" s="69">
        <v>0</v>
      </c>
      <c r="J224" s="69">
        <v>0</v>
      </c>
      <c r="K224" s="69">
        <v>0</v>
      </c>
      <c r="L224" s="69">
        <v>0</v>
      </c>
      <c r="M224" s="69">
        <v>0</v>
      </c>
      <c r="N224" s="69">
        <v>0</v>
      </c>
      <c r="O224" s="69">
        <v>0</v>
      </c>
      <c r="P224" s="69">
        <v>0</v>
      </c>
      <c r="Q224" s="69">
        <v>0</v>
      </c>
      <c r="R224" s="69">
        <v>0</v>
      </c>
      <c r="S224" s="69">
        <v>0</v>
      </c>
      <c r="T224" s="69">
        <v>0</v>
      </c>
      <c r="U224" s="69">
        <v>0</v>
      </c>
      <c r="V224" s="69">
        <v>1044524</v>
      </c>
      <c r="W224" s="69">
        <v>1687686</v>
      </c>
      <c r="X224" s="69">
        <v>875414</v>
      </c>
      <c r="Y224" s="69">
        <v>852890</v>
      </c>
      <c r="Z224" s="69">
        <v>648099</v>
      </c>
      <c r="AA224" s="69">
        <v>1222934</v>
      </c>
      <c r="AB224" s="69">
        <v>4150923</v>
      </c>
      <c r="AC224" s="69">
        <v>835213</v>
      </c>
      <c r="AD224" s="69">
        <v>3438109</v>
      </c>
      <c r="AE224" s="69">
        <v>2303755</v>
      </c>
      <c r="AF224" s="69">
        <v>2006900</v>
      </c>
      <c r="AG224" s="69">
        <v>2181870</v>
      </c>
      <c r="AH224" s="69">
        <v>4398220</v>
      </c>
      <c r="AI224" s="69">
        <v>3029879</v>
      </c>
      <c r="AJ224" s="69">
        <v>2053715</v>
      </c>
      <c r="AK224" s="69">
        <v>3833001</v>
      </c>
      <c r="AL224" s="69">
        <v>5374679</v>
      </c>
      <c r="AM224" s="69">
        <v>5490952</v>
      </c>
      <c r="AN224" s="69">
        <v>3799798</v>
      </c>
      <c r="AO224" s="69">
        <v>5048617</v>
      </c>
      <c r="AP224" s="69">
        <v>5137452</v>
      </c>
      <c r="AQ224" s="69">
        <v>3283330</v>
      </c>
      <c r="AR224" s="69">
        <v>5916204</v>
      </c>
      <c r="AS224" s="69">
        <v>3366726</v>
      </c>
      <c r="AT224" s="69">
        <v>2874741</v>
      </c>
      <c r="AU224" s="69">
        <v>2274159</v>
      </c>
      <c r="AV224">
        <v>3474779</v>
      </c>
      <c r="AW224">
        <v>2897841</v>
      </c>
      <c r="AX224">
        <v>4393176</v>
      </c>
    </row>
    <row r="225" spans="1:50" ht="14.5" x14ac:dyDescent="0.35">
      <c r="A225" s="68" t="s">
        <v>437</v>
      </c>
      <c r="B225" s="68" t="str">
        <f>VLOOKUP(Tabelle_Abfrage_von_MS_Access_Database[[#This Row],[LAND]],Texte!$A$4:$C$261,Texte!$A$1+1,FALSE)</f>
        <v>Amerik.-Ozeanien</v>
      </c>
      <c r="C225" s="68" t="s">
        <v>508</v>
      </c>
      <c r="D225" s="68" t="s">
        <v>530</v>
      </c>
      <c r="E225" s="69">
        <v>7000</v>
      </c>
      <c r="F225" s="69">
        <v>28000</v>
      </c>
      <c r="G225" s="69">
        <v>40000</v>
      </c>
      <c r="H225" s="69">
        <v>70000</v>
      </c>
      <c r="I225" s="69">
        <v>47000</v>
      </c>
      <c r="J225" s="69">
        <v>65000</v>
      </c>
      <c r="K225" s="69">
        <v>69000</v>
      </c>
      <c r="L225" s="69">
        <v>82000</v>
      </c>
      <c r="M225" s="69">
        <v>137000</v>
      </c>
      <c r="N225" s="69">
        <v>58000</v>
      </c>
      <c r="O225" s="69">
        <v>215000</v>
      </c>
      <c r="P225" s="69">
        <v>73000</v>
      </c>
      <c r="Q225" s="69">
        <v>101000</v>
      </c>
      <c r="R225" s="69">
        <v>206000</v>
      </c>
      <c r="S225" s="69">
        <v>234000</v>
      </c>
      <c r="T225" s="69">
        <v>232000</v>
      </c>
      <c r="U225" s="69">
        <v>94000</v>
      </c>
      <c r="V225" s="69">
        <v>956447</v>
      </c>
      <c r="W225" s="69">
        <v>73690</v>
      </c>
      <c r="X225" s="69">
        <v>453840</v>
      </c>
      <c r="Y225" s="69">
        <v>370339</v>
      </c>
      <c r="Z225" s="69">
        <v>205009</v>
      </c>
      <c r="AA225" s="69">
        <v>969092</v>
      </c>
      <c r="AB225" s="70"/>
      <c r="AC225" s="70"/>
      <c r="AD225" s="70"/>
      <c r="AE225" s="70"/>
      <c r="AF225" s="70"/>
      <c r="AG225" s="70"/>
      <c r="AH225" s="70"/>
      <c r="AI225" s="70"/>
      <c r="AJ225" s="70"/>
      <c r="AK225" s="70"/>
      <c r="AL225" s="70"/>
      <c r="AM225" s="70"/>
      <c r="AN225" s="70"/>
      <c r="AO225" s="70"/>
      <c r="AP225" s="70"/>
      <c r="AQ225" s="70"/>
      <c r="AR225" s="70"/>
      <c r="AS225" s="70"/>
      <c r="AT225" s="70"/>
      <c r="AU225" s="70"/>
    </row>
    <row r="226" spans="1:50" ht="14.5" x14ac:dyDescent="0.35">
      <c r="A226" s="68" t="s">
        <v>439</v>
      </c>
      <c r="B226" s="68" t="str">
        <f>VLOOKUP(Tabelle_Abfrage_von_MS_Access_Database[[#This Row],[LAND]],Texte!$A$4:$C$261,Texte!$A$1+1,FALSE)</f>
        <v>Wallis und Futuna</v>
      </c>
      <c r="C226" s="68" t="s">
        <v>525</v>
      </c>
      <c r="D226" s="68" t="s">
        <v>557</v>
      </c>
      <c r="E226" s="69">
        <v>0</v>
      </c>
      <c r="F226" s="69">
        <v>0</v>
      </c>
      <c r="G226" s="69">
        <v>0</v>
      </c>
      <c r="H226" s="69">
        <v>0</v>
      </c>
      <c r="I226" s="69">
        <v>0</v>
      </c>
      <c r="J226" s="69">
        <v>0</v>
      </c>
      <c r="K226" s="69">
        <v>0</v>
      </c>
      <c r="L226" s="69">
        <v>0</v>
      </c>
      <c r="M226" s="69">
        <v>0</v>
      </c>
      <c r="N226" s="69">
        <v>0</v>
      </c>
      <c r="O226" s="69">
        <v>0</v>
      </c>
      <c r="P226" s="69">
        <v>0</v>
      </c>
      <c r="Q226" s="69">
        <v>0</v>
      </c>
      <c r="R226" s="69">
        <v>0</v>
      </c>
      <c r="S226" s="69">
        <v>0</v>
      </c>
      <c r="T226" s="69">
        <v>0</v>
      </c>
      <c r="U226" s="69">
        <v>0</v>
      </c>
      <c r="V226" s="69">
        <v>0</v>
      </c>
      <c r="W226" s="69">
        <v>0</v>
      </c>
      <c r="X226" s="69">
        <v>0</v>
      </c>
      <c r="Y226" s="69">
        <v>0</v>
      </c>
      <c r="Z226" s="69">
        <v>10683</v>
      </c>
      <c r="AA226" s="69">
        <v>0</v>
      </c>
      <c r="AB226" s="69">
        <v>0</v>
      </c>
      <c r="AC226" s="69">
        <v>0</v>
      </c>
      <c r="AD226" s="69">
        <v>0</v>
      </c>
      <c r="AE226" s="70"/>
      <c r="AF226" s="70"/>
      <c r="AG226" s="69">
        <v>0</v>
      </c>
      <c r="AH226" s="69">
        <v>0</v>
      </c>
      <c r="AI226" s="69">
        <v>0</v>
      </c>
      <c r="AJ226" s="70"/>
      <c r="AK226" s="70"/>
      <c r="AL226" s="70"/>
      <c r="AM226" s="70"/>
      <c r="AN226" s="70"/>
      <c r="AO226" s="70"/>
      <c r="AP226" s="70"/>
      <c r="AQ226" s="70"/>
      <c r="AR226" s="69">
        <v>8661</v>
      </c>
      <c r="AS226" s="70"/>
      <c r="AT226" s="70"/>
      <c r="AU226" s="70"/>
      <c r="AV226">
        <v>637590</v>
      </c>
      <c r="AW226">
        <v>650427</v>
      </c>
      <c r="AX226">
        <v>238</v>
      </c>
    </row>
    <row r="227" spans="1:50" ht="14.5" x14ac:dyDescent="0.35">
      <c r="A227" s="68" t="s">
        <v>441</v>
      </c>
      <c r="B227" s="68" t="str">
        <f>VLOOKUP(Tabelle_Abfrage_von_MS_Access_Database[[#This Row],[LAND]],Texte!$A$4:$C$261,Texte!$A$1+1,FALSE)</f>
        <v>Kiribati</v>
      </c>
      <c r="C227" s="68" t="s">
        <v>512</v>
      </c>
      <c r="D227" s="68" t="s">
        <v>557</v>
      </c>
      <c r="E227" s="69">
        <v>0</v>
      </c>
      <c r="F227" s="69">
        <v>0</v>
      </c>
      <c r="G227" s="69">
        <v>0</v>
      </c>
      <c r="H227" s="69">
        <v>0</v>
      </c>
      <c r="I227" s="69">
        <v>0</v>
      </c>
      <c r="J227" s="69">
        <v>0</v>
      </c>
      <c r="K227" s="69">
        <v>0</v>
      </c>
      <c r="L227" s="69">
        <v>0</v>
      </c>
      <c r="M227" s="69">
        <v>0</v>
      </c>
      <c r="N227" s="69">
        <v>0</v>
      </c>
      <c r="O227" s="69">
        <v>877000</v>
      </c>
      <c r="P227" s="69">
        <v>693000</v>
      </c>
      <c r="Q227" s="69">
        <v>498000</v>
      </c>
      <c r="R227" s="69">
        <v>14000</v>
      </c>
      <c r="S227" s="69">
        <v>0</v>
      </c>
      <c r="T227" s="69">
        <v>45000</v>
      </c>
      <c r="U227" s="69">
        <v>42000</v>
      </c>
      <c r="V227" s="69">
        <v>3779</v>
      </c>
      <c r="W227" s="69">
        <v>0</v>
      </c>
      <c r="X227" s="69">
        <v>0</v>
      </c>
      <c r="Y227" s="69">
        <v>63443</v>
      </c>
      <c r="Z227" s="69">
        <v>0</v>
      </c>
      <c r="AA227" s="69">
        <v>3924</v>
      </c>
      <c r="AB227" s="69">
        <v>0</v>
      </c>
      <c r="AC227" s="69">
        <v>11277</v>
      </c>
      <c r="AD227" s="69">
        <v>207042</v>
      </c>
      <c r="AE227" s="69">
        <v>0</v>
      </c>
      <c r="AF227" s="69">
        <v>3548</v>
      </c>
      <c r="AG227" s="69">
        <v>0</v>
      </c>
      <c r="AH227" s="69">
        <v>15010</v>
      </c>
      <c r="AI227" s="69">
        <v>1390</v>
      </c>
      <c r="AJ227" s="70"/>
      <c r="AK227" s="70"/>
      <c r="AL227" s="69">
        <v>1760</v>
      </c>
      <c r="AM227" s="69">
        <v>2301</v>
      </c>
      <c r="AN227" s="69">
        <v>325965</v>
      </c>
      <c r="AO227" s="69">
        <v>27142</v>
      </c>
      <c r="AP227" s="69">
        <v>2325</v>
      </c>
      <c r="AQ227" s="69">
        <v>15116</v>
      </c>
      <c r="AR227" s="69">
        <v>0</v>
      </c>
      <c r="AS227" s="69">
        <v>11445</v>
      </c>
      <c r="AT227" s="69">
        <v>0</v>
      </c>
      <c r="AU227" s="69">
        <v>2463</v>
      </c>
      <c r="AV227">
        <v>93306</v>
      </c>
      <c r="AW227">
        <v>0</v>
      </c>
      <c r="AX227">
        <v>9796</v>
      </c>
    </row>
    <row r="228" spans="1:50" ht="14.5" x14ac:dyDescent="0.35">
      <c r="A228" s="68" t="s">
        <v>443</v>
      </c>
      <c r="B228" s="68" t="str">
        <f>VLOOKUP(Tabelle_Abfrage_von_MS_Access_Database[[#This Row],[LAND]],Texte!$A$4:$C$261,Texte!$A$1+1,FALSE)</f>
        <v>Pitcairn</v>
      </c>
      <c r="C228" s="68" t="s">
        <v>525</v>
      </c>
      <c r="D228" s="68" t="s">
        <v>557</v>
      </c>
      <c r="E228" s="69">
        <v>0</v>
      </c>
      <c r="F228" s="69">
        <v>0</v>
      </c>
      <c r="G228" s="69">
        <v>0</v>
      </c>
      <c r="H228" s="69">
        <v>0</v>
      </c>
      <c r="I228" s="69">
        <v>0</v>
      </c>
      <c r="J228" s="69">
        <v>0</v>
      </c>
      <c r="K228" s="69">
        <v>0</v>
      </c>
      <c r="L228" s="69">
        <v>0</v>
      </c>
      <c r="M228" s="69">
        <v>0</v>
      </c>
      <c r="N228" s="69">
        <v>0</v>
      </c>
      <c r="O228" s="69">
        <v>0</v>
      </c>
      <c r="P228" s="69">
        <v>0</v>
      </c>
      <c r="Q228" s="69">
        <v>0</v>
      </c>
      <c r="R228" s="69">
        <v>0</v>
      </c>
      <c r="S228" s="69">
        <v>0</v>
      </c>
      <c r="T228" s="69">
        <v>0</v>
      </c>
      <c r="U228" s="69">
        <v>0</v>
      </c>
      <c r="V228" s="69">
        <v>28124</v>
      </c>
      <c r="W228" s="69">
        <v>0</v>
      </c>
      <c r="X228" s="69">
        <v>0</v>
      </c>
      <c r="Y228" s="69">
        <v>0</v>
      </c>
      <c r="Z228" s="69">
        <v>218</v>
      </c>
      <c r="AA228" s="69">
        <v>0</v>
      </c>
      <c r="AB228" s="69">
        <v>188687</v>
      </c>
      <c r="AC228" s="69">
        <v>1857</v>
      </c>
      <c r="AD228" s="69">
        <v>2974</v>
      </c>
      <c r="AE228" s="69">
        <v>7143</v>
      </c>
      <c r="AF228" s="69">
        <v>7600</v>
      </c>
      <c r="AG228" s="69">
        <v>0</v>
      </c>
      <c r="AH228" s="69">
        <v>0</v>
      </c>
      <c r="AI228" s="69">
        <v>0</v>
      </c>
      <c r="AJ228" s="69">
        <v>0</v>
      </c>
      <c r="AK228" s="69">
        <v>0</v>
      </c>
      <c r="AL228" s="69">
        <v>0</v>
      </c>
      <c r="AM228" s="69">
        <v>0</v>
      </c>
      <c r="AN228" s="70"/>
      <c r="AO228" s="70"/>
      <c r="AP228" s="70"/>
      <c r="AQ228" s="70"/>
      <c r="AR228" s="70"/>
      <c r="AS228" s="70"/>
      <c r="AT228" s="70"/>
      <c r="AU228" s="70"/>
      <c r="AX228">
        <v>0</v>
      </c>
    </row>
    <row r="229" spans="1:50" ht="14.5" x14ac:dyDescent="0.35">
      <c r="A229" s="68" t="s">
        <v>445</v>
      </c>
      <c r="B229" s="68" t="str">
        <f>VLOOKUP(Tabelle_Abfrage_von_MS_Access_Database[[#This Row],[LAND]],Texte!$A$4:$C$261,Texte!$A$1+1,FALSE)</f>
        <v>Neuseeld.Ozeanien</v>
      </c>
      <c r="C229" s="68" t="s">
        <v>513</v>
      </c>
      <c r="D229" s="68" t="s">
        <v>531</v>
      </c>
      <c r="E229" s="69">
        <v>0</v>
      </c>
      <c r="F229" s="69">
        <v>0</v>
      </c>
      <c r="G229" s="69">
        <v>0</v>
      </c>
      <c r="H229" s="69">
        <v>0</v>
      </c>
      <c r="I229" s="69">
        <v>0</v>
      </c>
      <c r="J229" s="69">
        <v>123000</v>
      </c>
      <c r="K229" s="69">
        <v>101000</v>
      </c>
      <c r="L229" s="69">
        <v>124000</v>
      </c>
      <c r="M229" s="69">
        <v>62000</v>
      </c>
      <c r="N229" s="69">
        <v>100000</v>
      </c>
      <c r="O229" s="69">
        <v>195000</v>
      </c>
      <c r="P229" s="69">
        <v>238000</v>
      </c>
      <c r="Q229" s="69">
        <v>300000</v>
      </c>
      <c r="R229" s="69">
        <v>1251000</v>
      </c>
      <c r="S229" s="69">
        <v>659000</v>
      </c>
      <c r="T229" s="69">
        <v>888000</v>
      </c>
      <c r="U229" s="69">
        <v>857000</v>
      </c>
      <c r="V229" s="69">
        <v>1651421</v>
      </c>
      <c r="W229" s="69">
        <v>73256</v>
      </c>
      <c r="X229" s="69">
        <v>18096</v>
      </c>
      <c r="Y229" s="69">
        <v>138950</v>
      </c>
      <c r="Z229" s="69">
        <v>6690116</v>
      </c>
      <c r="AA229" s="69">
        <v>4267648</v>
      </c>
      <c r="AB229" s="70"/>
      <c r="AC229" s="70"/>
      <c r="AD229" s="70"/>
      <c r="AE229" s="70"/>
      <c r="AF229" s="70"/>
      <c r="AG229" s="70"/>
      <c r="AH229" s="70"/>
      <c r="AI229" s="70"/>
      <c r="AJ229" s="70"/>
      <c r="AK229" s="70"/>
      <c r="AL229" s="70"/>
      <c r="AM229" s="70"/>
      <c r="AN229" s="70"/>
      <c r="AO229" s="70"/>
      <c r="AP229" s="70"/>
      <c r="AQ229" s="70"/>
      <c r="AR229" s="70"/>
      <c r="AS229" s="70"/>
      <c r="AT229" s="70"/>
      <c r="AU229" s="70"/>
    </row>
    <row r="230" spans="1:50" ht="14.5" x14ac:dyDescent="0.35">
      <c r="A230" s="68" t="s">
        <v>447</v>
      </c>
      <c r="B230" s="68" t="str">
        <f>VLOOKUP(Tabelle_Abfrage_von_MS_Access_Database[[#This Row],[LAND]],Texte!$A$4:$C$261,Texte!$A$1+1,FALSE)</f>
        <v>Fidschi</v>
      </c>
      <c r="C230" s="68" t="s">
        <v>510</v>
      </c>
      <c r="D230" s="68" t="s">
        <v>557</v>
      </c>
      <c r="E230" s="69">
        <v>0</v>
      </c>
      <c r="F230" s="69">
        <v>0</v>
      </c>
      <c r="G230" s="69">
        <v>1769000</v>
      </c>
      <c r="H230" s="69">
        <v>920000</v>
      </c>
      <c r="I230" s="69">
        <v>653000</v>
      </c>
      <c r="J230" s="69">
        <v>1213000</v>
      </c>
      <c r="K230" s="69">
        <v>324000</v>
      </c>
      <c r="L230" s="69">
        <v>393000</v>
      </c>
      <c r="M230" s="69">
        <v>354000</v>
      </c>
      <c r="N230" s="69">
        <v>107000</v>
      </c>
      <c r="O230" s="69">
        <v>44000</v>
      </c>
      <c r="P230" s="69">
        <v>154000</v>
      </c>
      <c r="Q230" s="69">
        <v>94000</v>
      </c>
      <c r="R230" s="69">
        <v>74000</v>
      </c>
      <c r="S230" s="69">
        <v>160000</v>
      </c>
      <c r="T230" s="69">
        <v>48000</v>
      </c>
      <c r="U230" s="69">
        <v>175000</v>
      </c>
      <c r="V230" s="69">
        <v>606889</v>
      </c>
      <c r="W230" s="69">
        <v>315035</v>
      </c>
      <c r="X230" s="69">
        <v>365327</v>
      </c>
      <c r="Y230" s="69">
        <v>342943</v>
      </c>
      <c r="Z230" s="69">
        <v>134156</v>
      </c>
      <c r="AA230" s="69">
        <v>64388</v>
      </c>
      <c r="AB230" s="69">
        <v>30032</v>
      </c>
      <c r="AC230" s="69">
        <v>34274</v>
      </c>
      <c r="AD230" s="69">
        <v>92920</v>
      </c>
      <c r="AE230" s="69">
        <v>21191</v>
      </c>
      <c r="AF230" s="69">
        <v>62128</v>
      </c>
      <c r="AG230" s="69">
        <v>577108</v>
      </c>
      <c r="AH230" s="69">
        <v>37228</v>
      </c>
      <c r="AI230" s="69">
        <v>2954682</v>
      </c>
      <c r="AJ230" s="69">
        <v>364603</v>
      </c>
      <c r="AK230" s="69">
        <v>280461</v>
      </c>
      <c r="AL230" s="69">
        <v>174381</v>
      </c>
      <c r="AM230" s="69">
        <v>95087</v>
      </c>
      <c r="AN230" s="69">
        <v>180951</v>
      </c>
      <c r="AO230" s="69">
        <v>1737104</v>
      </c>
      <c r="AP230" s="69">
        <v>2538427</v>
      </c>
      <c r="AQ230" s="69">
        <v>1025481</v>
      </c>
      <c r="AR230" s="69">
        <v>459508</v>
      </c>
      <c r="AS230" s="69">
        <v>4912199</v>
      </c>
      <c r="AT230" s="69">
        <v>1233835</v>
      </c>
      <c r="AU230" s="69">
        <v>768470</v>
      </c>
      <c r="AV230">
        <v>10127782</v>
      </c>
      <c r="AW230">
        <v>5654408</v>
      </c>
      <c r="AX230">
        <v>1014076</v>
      </c>
    </row>
    <row r="231" spans="1:50" ht="14.5" x14ac:dyDescent="0.35">
      <c r="A231" s="68" t="s">
        <v>449</v>
      </c>
      <c r="B231" s="68" t="str">
        <f>VLOOKUP(Tabelle_Abfrage_von_MS_Access_Database[[#This Row],[LAND]],Texte!$A$4:$C$261,Texte!$A$1+1,FALSE)</f>
        <v>Vanuatu</v>
      </c>
      <c r="C231" s="68" t="s">
        <v>508</v>
      </c>
      <c r="D231" s="68" t="s">
        <v>557</v>
      </c>
      <c r="E231" s="69">
        <v>2000</v>
      </c>
      <c r="F231" s="69">
        <v>3000</v>
      </c>
      <c r="G231" s="69">
        <v>5000</v>
      </c>
      <c r="H231" s="69">
        <v>3000</v>
      </c>
      <c r="I231" s="69">
        <v>0</v>
      </c>
      <c r="J231" s="69">
        <v>0</v>
      </c>
      <c r="K231" s="69">
        <v>12000</v>
      </c>
      <c r="L231" s="69">
        <v>27000</v>
      </c>
      <c r="M231" s="69">
        <v>0</v>
      </c>
      <c r="N231" s="69">
        <v>0</v>
      </c>
      <c r="O231" s="69">
        <v>2000</v>
      </c>
      <c r="P231" s="69">
        <v>5000</v>
      </c>
      <c r="Q231" s="69">
        <v>0</v>
      </c>
      <c r="R231" s="69">
        <v>0</v>
      </c>
      <c r="S231" s="69">
        <v>6000</v>
      </c>
      <c r="T231" s="69">
        <v>0</v>
      </c>
      <c r="U231" s="69">
        <v>12000</v>
      </c>
      <c r="V231" s="69">
        <v>8721</v>
      </c>
      <c r="W231" s="70"/>
      <c r="X231" s="69">
        <v>13008</v>
      </c>
      <c r="Y231" s="70"/>
      <c r="Z231" s="70"/>
      <c r="AA231" s="69">
        <v>5378</v>
      </c>
      <c r="AB231" s="69">
        <v>0</v>
      </c>
      <c r="AC231" s="69">
        <v>0</v>
      </c>
      <c r="AD231" s="69">
        <v>0</v>
      </c>
      <c r="AE231" s="69">
        <v>0</v>
      </c>
      <c r="AF231" s="69">
        <v>0</v>
      </c>
      <c r="AG231" s="69">
        <v>0</v>
      </c>
      <c r="AH231" s="69">
        <v>0</v>
      </c>
      <c r="AI231" s="69">
        <v>0</v>
      </c>
      <c r="AJ231" s="69">
        <v>11281</v>
      </c>
      <c r="AK231" s="69">
        <v>4526</v>
      </c>
      <c r="AL231" s="69">
        <v>32900</v>
      </c>
      <c r="AM231" s="70"/>
      <c r="AN231" s="69">
        <v>5791</v>
      </c>
      <c r="AO231" s="69">
        <v>0</v>
      </c>
      <c r="AP231" s="69">
        <v>51465</v>
      </c>
      <c r="AQ231" s="69">
        <v>0</v>
      </c>
      <c r="AR231" s="69">
        <v>121097</v>
      </c>
      <c r="AS231" s="69">
        <v>13282</v>
      </c>
      <c r="AT231" s="69">
        <v>31807</v>
      </c>
      <c r="AU231" s="69">
        <v>223663</v>
      </c>
      <c r="AV231">
        <v>123929</v>
      </c>
      <c r="AW231">
        <v>145256</v>
      </c>
      <c r="AX231">
        <v>46824</v>
      </c>
    </row>
    <row r="232" spans="1:50" ht="14.5" x14ac:dyDescent="0.35">
      <c r="A232" s="68" t="s">
        <v>451</v>
      </c>
      <c r="B232" s="68" t="str">
        <f>VLOOKUP(Tabelle_Abfrage_von_MS_Access_Database[[#This Row],[LAND]],Texte!$A$4:$C$261,Texte!$A$1+1,FALSE)</f>
        <v>Tonga</v>
      </c>
      <c r="C232" s="68" t="s">
        <v>511</v>
      </c>
      <c r="D232" s="68" t="s">
        <v>557</v>
      </c>
      <c r="E232" s="69">
        <v>0</v>
      </c>
      <c r="F232" s="69">
        <v>0</v>
      </c>
      <c r="G232" s="69">
        <v>0</v>
      </c>
      <c r="H232" s="69">
        <v>6000</v>
      </c>
      <c r="I232" s="69">
        <v>0</v>
      </c>
      <c r="J232" s="69">
        <v>1000</v>
      </c>
      <c r="K232" s="69">
        <v>1000</v>
      </c>
      <c r="L232" s="69">
        <v>0</v>
      </c>
      <c r="M232" s="69">
        <v>1000</v>
      </c>
      <c r="N232" s="69">
        <v>0</v>
      </c>
      <c r="O232" s="69">
        <v>0</v>
      </c>
      <c r="P232" s="69">
        <v>34000</v>
      </c>
      <c r="Q232" s="69">
        <v>3000</v>
      </c>
      <c r="R232" s="69">
        <v>110000</v>
      </c>
      <c r="S232" s="69">
        <v>15000</v>
      </c>
      <c r="T232" s="69">
        <v>10000</v>
      </c>
      <c r="U232" s="69">
        <v>1000</v>
      </c>
      <c r="V232" s="69">
        <v>75725</v>
      </c>
      <c r="W232" s="69">
        <v>0</v>
      </c>
      <c r="X232" s="70"/>
      <c r="Y232" s="69">
        <v>61845</v>
      </c>
      <c r="Z232" s="69">
        <v>29941</v>
      </c>
      <c r="AA232" s="69">
        <v>56758</v>
      </c>
      <c r="AB232" s="69">
        <v>2317</v>
      </c>
      <c r="AC232" s="69">
        <v>102212</v>
      </c>
      <c r="AD232" s="69">
        <v>0</v>
      </c>
      <c r="AE232" s="69">
        <v>23131</v>
      </c>
      <c r="AF232" s="70"/>
      <c r="AG232" s="69">
        <v>156300</v>
      </c>
      <c r="AH232" s="69">
        <v>150</v>
      </c>
      <c r="AI232" s="70"/>
      <c r="AJ232" s="69">
        <v>0</v>
      </c>
      <c r="AK232" s="69">
        <v>0</v>
      </c>
      <c r="AL232" s="69">
        <v>0</v>
      </c>
      <c r="AM232" s="69">
        <v>0</v>
      </c>
      <c r="AN232" s="69">
        <v>13240</v>
      </c>
      <c r="AO232" s="69">
        <v>2388</v>
      </c>
      <c r="AP232" s="69">
        <v>2300</v>
      </c>
      <c r="AQ232" s="69">
        <v>0</v>
      </c>
      <c r="AR232" s="69">
        <v>0</v>
      </c>
      <c r="AS232" s="70"/>
      <c r="AT232" s="69">
        <v>557</v>
      </c>
      <c r="AU232" s="70"/>
      <c r="AV232">
        <v>615818</v>
      </c>
      <c r="AW232">
        <v>641</v>
      </c>
      <c r="AX232">
        <v>32160</v>
      </c>
    </row>
    <row r="233" spans="1:50" ht="14.5" x14ac:dyDescent="0.35">
      <c r="A233" s="68" t="s">
        <v>453</v>
      </c>
      <c r="B233" s="68" t="str">
        <f>VLOOKUP(Tabelle_Abfrage_von_MS_Access_Database[[#This Row],[LAND]],Texte!$A$4:$C$261,Texte!$A$1+1,FALSE)</f>
        <v>Samoa</v>
      </c>
      <c r="C233" s="68" t="s">
        <v>508</v>
      </c>
      <c r="D233" s="68" t="s">
        <v>557</v>
      </c>
      <c r="E233" s="69">
        <v>9000</v>
      </c>
      <c r="F233" s="69">
        <v>37000</v>
      </c>
      <c r="G233" s="69">
        <v>0</v>
      </c>
      <c r="H233" s="69">
        <v>0</v>
      </c>
      <c r="I233" s="69">
        <v>0</v>
      </c>
      <c r="J233" s="69">
        <v>0</v>
      </c>
      <c r="K233" s="69">
        <v>0</v>
      </c>
      <c r="L233" s="69">
        <v>0</v>
      </c>
      <c r="M233" s="69">
        <v>0</v>
      </c>
      <c r="N233" s="69">
        <v>0</v>
      </c>
      <c r="O233" s="69">
        <v>102000</v>
      </c>
      <c r="P233" s="69">
        <v>2000</v>
      </c>
      <c r="Q233" s="69">
        <v>0</v>
      </c>
      <c r="R233" s="69">
        <v>66000</v>
      </c>
      <c r="S233" s="69">
        <v>230000</v>
      </c>
      <c r="T233" s="69">
        <v>25000</v>
      </c>
      <c r="U233" s="69">
        <v>74000</v>
      </c>
      <c r="V233" s="69">
        <v>0</v>
      </c>
      <c r="W233" s="69">
        <v>0</v>
      </c>
      <c r="X233" s="69">
        <v>0</v>
      </c>
      <c r="Y233" s="69">
        <v>116422</v>
      </c>
      <c r="Z233" s="69">
        <v>0</v>
      </c>
      <c r="AA233" s="69">
        <v>1380</v>
      </c>
      <c r="AB233" s="69">
        <v>9773</v>
      </c>
      <c r="AC233" s="69">
        <v>7278</v>
      </c>
      <c r="AD233" s="69">
        <v>17398</v>
      </c>
      <c r="AE233" s="69">
        <v>2112</v>
      </c>
      <c r="AF233" s="69">
        <v>5783</v>
      </c>
      <c r="AG233" s="69">
        <v>240547</v>
      </c>
      <c r="AH233" s="69">
        <v>5905</v>
      </c>
      <c r="AI233" s="69">
        <v>194270</v>
      </c>
      <c r="AJ233" s="69">
        <v>0</v>
      </c>
      <c r="AK233" s="69">
        <v>14250</v>
      </c>
      <c r="AL233" s="69">
        <v>9996</v>
      </c>
      <c r="AM233" s="69">
        <v>156682</v>
      </c>
      <c r="AN233" s="69">
        <v>108452</v>
      </c>
      <c r="AO233" s="69">
        <v>69904</v>
      </c>
      <c r="AP233" s="69">
        <v>121574</v>
      </c>
      <c r="AQ233" s="69">
        <v>421089</v>
      </c>
      <c r="AR233" s="69">
        <v>134310</v>
      </c>
      <c r="AS233" s="69">
        <v>195137</v>
      </c>
      <c r="AT233" s="69">
        <v>114658</v>
      </c>
      <c r="AU233" s="69">
        <v>76975</v>
      </c>
      <c r="AV233">
        <v>188917</v>
      </c>
      <c r="AW233">
        <v>70419</v>
      </c>
      <c r="AX233">
        <v>208312</v>
      </c>
    </row>
    <row r="234" spans="1:50" ht="14.5" x14ac:dyDescent="0.35">
      <c r="A234" s="68" t="s">
        <v>455</v>
      </c>
      <c r="B234" s="68" t="str">
        <f>VLOOKUP(Tabelle_Abfrage_von_MS_Access_Database[[#This Row],[LAND]],Texte!$A$4:$C$261,Texte!$A$1+1,FALSE)</f>
        <v>Nördliche Marianen</v>
      </c>
      <c r="C234" s="68" t="s">
        <v>525</v>
      </c>
      <c r="D234" s="68" t="s">
        <v>557</v>
      </c>
      <c r="E234" s="69">
        <v>0</v>
      </c>
      <c r="F234" s="69">
        <v>0</v>
      </c>
      <c r="G234" s="69">
        <v>0</v>
      </c>
      <c r="H234" s="69">
        <v>0</v>
      </c>
      <c r="I234" s="69">
        <v>0</v>
      </c>
      <c r="J234" s="69">
        <v>0</v>
      </c>
      <c r="K234" s="69">
        <v>0</v>
      </c>
      <c r="L234" s="69">
        <v>0</v>
      </c>
      <c r="M234" s="69">
        <v>0</v>
      </c>
      <c r="N234" s="69">
        <v>0</v>
      </c>
      <c r="O234" s="69">
        <v>0</v>
      </c>
      <c r="P234" s="69">
        <v>0</v>
      </c>
      <c r="Q234" s="69">
        <v>0</v>
      </c>
      <c r="R234" s="69">
        <v>0</v>
      </c>
      <c r="S234" s="69">
        <v>0</v>
      </c>
      <c r="T234" s="69">
        <v>0</v>
      </c>
      <c r="U234" s="69">
        <v>0</v>
      </c>
      <c r="V234" s="69">
        <v>6177</v>
      </c>
      <c r="W234" s="70"/>
      <c r="X234" s="69">
        <v>4288</v>
      </c>
      <c r="Y234" s="69">
        <v>0</v>
      </c>
      <c r="Z234" s="69">
        <v>28633</v>
      </c>
      <c r="AA234" s="69">
        <v>0</v>
      </c>
      <c r="AB234" s="69">
        <v>0</v>
      </c>
      <c r="AC234" s="69">
        <v>9843</v>
      </c>
      <c r="AD234" s="69">
        <v>3399</v>
      </c>
      <c r="AE234" s="69">
        <v>11144</v>
      </c>
      <c r="AF234" s="69">
        <v>10130</v>
      </c>
      <c r="AG234" s="69">
        <v>2933</v>
      </c>
      <c r="AH234" s="69">
        <v>7</v>
      </c>
      <c r="AI234" s="69">
        <v>0</v>
      </c>
      <c r="AJ234" s="69">
        <v>0</v>
      </c>
      <c r="AK234" s="69">
        <v>0</v>
      </c>
      <c r="AL234" s="69">
        <v>0</v>
      </c>
      <c r="AM234" s="69">
        <v>1244</v>
      </c>
      <c r="AN234" s="70"/>
      <c r="AO234" s="70"/>
      <c r="AP234" s="69">
        <v>222932</v>
      </c>
      <c r="AQ234" s="69">
        <v>25770</v>
      </c>
      <c r="AR234" s="69">
        <v>203594</v>
      </c>
      <c r="AS234" s="70"/>
      <c r="AT234" s="70"/>
      <c r="AU234" s="69">
        <v>2021</v>
      </c>
      <c r="AV234">
        <v>10149</v>
      </c>
      <c r="AW234">
        <v>14128</v>
      </c>
      <c r="AX234">
        <v>0</v>
      </c>
    </row>
    <row r="235" spans="1:50" ht="14.5" x14ac:dyDescent="0.35">
      <c r="A235" s="68" t="s">
        <v>457</v>
      </c>
      <c r="B235" s="68" t="str">
        <f>VLOOKUP(Tabelle_Abfrage_von_MS_Access_Database[[#This Row],[LAND]],Texte!$A$4:$C$261,Texte!$A$1+1,FALSE)</f>
        <v>Frz.Polynesien</v>
      </c>
      <c r="C235" s="68" t="s">
        <v>508</v>
      </c>
      <c r="D235" s="68" t="s">
        <v>557</v>
      </c>
      <c r="E235" s="69">
        <v>2153000</v>
      </c>
      <c r="F235" s="69">
        <v>1347000</v>
      </c>
      <c r="G235" s="69">
        <v>979000</v>
      </c>
      <c r="H235" s="69">
        <v>1171000</v>
      </c>
      <c r="I235" s="69">
        <v>587000</v>
      </c>
      <c r="J235" s="69">
        <v>545000</v>
      </c>
      <c r="K235" s="69">
        <v>1474000</v>
      </c>
      <c r="L235" s="69">
        <v>883000</v>
      </c>
      <c r="M235" s="69">
        <v>772000</v>
      </c>
      <c r="N235" s="69">
        <v>2016000</v>
      </c>
      <c r="O235" s="69">
        <v>478000</v>
      </c>
      <c r="P235" s="69">
        <v>857000</v>
      </c>
      <c r="Q235" s="69">
        <v>2288000</v>
      </c>
      <c r="R235" s="69">
        <v>6727000</v>
      </c>
      <c r="S235" s="69">
        <v>721000</v>
      </c>
      <c r="T235" s="69">
        <v>743000</v>
      </c>
      <c r="U235" s="69">
        <v>582000</v>
      </c>
      <c r="V235" s="70"/>
      <c r="W235" s="70"/>
      <c r="X235" s="69">
        <v>384077</v>
      </c>
      <c r="Y235" s="69">
        <v>249704</v>
      </c>
      <c r="Z235" s="69">
        <v>369687</v>
      </c>
      <c r="AA235" s="69">
        <v>845691</v>
      </c>
      <c r="AB235" s="69">
        <v>951758</v>
      </c>
      <c r="AC235" s="69">
        <v>470912</v>
      </c>
      <c r="AD235" s="69">
        <v>1200386</v>
      </c>
      <c r="AE235" s="69">
        <v>684867</v>
      </c>
      <c r="AF235" s="69">
        <v>4169086</v>
      </c>
      <c r="AG235" s="69">
        <v>728335</v>
      </c>
      <c r="AH235" s="69">
        <v>760920</v>
      </c>
      <c r="AI235" s="69">
        <v>866625</v>
      </c>
      <c r="AJ235" s="69">
        <v>492795</v>
      </c>
      <c r="AK235" s="69">
        <v>474493</v>
      </c>
      <c r="AL235" s="69">
        <v>1244852</v>
      </c>
      <c r="AM235" s="69">
        <v>737589</v>
      </c>
      <c r="AN235" s="69">
        <v>917760</v>
      </c>
      <c r="AO235" s="69">
        <v>838839</v>
      </c>
      <c r="AP235" s="69">
        <v>1511182</v>
      </c>
      <c r="AQ235" s="69">
        <v>708636</v>
      </c>
      <c r="AR235" s="69">
        <v>959346</v>
      </c>
      <c r="AS235" s="69">
        <v>898871</v>
      </c>
      <c r="AT235" s="69">
        <v>1711441</v>
      </c>
      <c r="AU235" s="69">
        <v>2150710</v>
      </c>
      <c r="AV235">
        <v>2185773</v>
      </c>
      <c r="AW235">
        <v>2332455</v>
      </c>
      <c r="AX235">
        <v>2990781</v>
      </c>
    </row>
    <row r="236" spans="1:50" ht="14.5" x14ac:dyDescent="0.35">
      <c r="A236" s="68" t="s">
        <v>459</v>
      </c>
      <c r="B236" s="68" t="str">
        <f>VLOOKUP(Tabelle_Abfrage_von_MS_Access_Database[[#This Row],[LAND]],Texte!$A$4:$C$261,Texte!$A$1+1,FALSE)</f>
        <v>Föd.Mikronesien</v>
      </c>
      <c r="C236" s="68" t="s">
        <v>526</v>
      </c>
      <c r="D236" s="68" t="s">
        <v>557</v>
      </c>
      <c r="E236" s="69">
        <v>0</v>
      </c>
      <c r="F236" s="69">
        <v>0</v>
      </c>
      <c r="G236" s="69">
        <v>0</v>
      </c>
      <c r="H236" s="69">
        <v>0</v>
      </c>
      <c r="I236" s="69">
        <v>0</v>
      </c>
      <c r="J236" s="69">
        <v>0</v>
      </c>
      <c r="K236" s="69">
        <v>0</v>
      </c>
      <c r="L236" s="69">
        <v>0</v>
      </c>
      <c r="M236" s="69">
        <v>0</v>
      </c>
      <c r="N236" s="69">
        <v>0</v>
      </c>
      <c r="O236" s="69">
        <v>0</v>
      </c>
      <c r="P236" s="69">
        <v>0</v>
      </c>
      <c r="Q236" s="69">
        <v>0</v>
      </c>
      <c r="R236" s="69">
        <v>0</v>
      </c>
      <c r="S236" s="69">
        <v>0</v>
      </c>
      <c r="T236" s="69">
        <v>0</v>
      </c>
      <c r="U236" s="69">
        <v>0</v>
      </c>
      <c r="V236" s="70"/>
      <c r="W236" s="69">
        <v>2398</v>
      </c>
      <c r="X236" s="69">
        <v>2398</v>
      </c>
      <c r="Y236" s="69">
        <v>0</v>
      </c>
      <c r="Z236" s="70"/>
      <c r="AA236" s="69">
        <v>0</v>
      </c>
      <c r="AB236" s="69">
        <v>4925</v>
      </c>
      <c r="AC236" s="69">
        <v>0</v>
      </c>
      <c r="AD236" s="69">
        <v>0</v>
      </c>
      <c r="AE236" s="69">
        <v>0</v>
      </c>
      <c r="AF236" s="70"/>
      <c r="AG236" s="69">
        <v>3904</v>
      </c>
      <c r="AH236" s="69">
        <v>24849</v>
      </c>
      <c r="AI236" s="69">
        <v>3682</v>
      </c>
      <c r="AJ236" s="69">
        <v>0</v>
      </c>
      <c r="AK236" s="69">
        <v>0</v>
      </c>
      <c r="AL236" s="69">
        <v>2689</v>
      </c>
      <c r="AM236" s="69">
        <v>13400</v>
      </c>
      <c r="AN236" s="69">
        <v>208677</v>
      </c>
      <c r="AO236" s="70"/>
      <c r="AP236" s="69">
        <v>1046</v>
      </c>
      <c r="AQ236" s="70"/>
      <c r="AR236" s="69">
        <v>0</v>
      </c>
      <c r="AS236" s="70"/>
      <c r="AT236" s="69">
        <v>11292</v>
      </c>
      <c r="AU236" s="69">
        <v>0</v>
      </c>
      <c r="AV236">
        <v>14628</v>
      </c>
      <c r="AW236">
        <v>137000</v>
      </c>
      <c r="AX236">
        <v>0</v>
      </c>
    </row>
    <row r="237" spans="1:50" ht="14.5" x14ac:dyDescent="0.35">
      <c r="A237" s="68" t="s">
        <v>461</v>
      </c>
      <c r="B237" s="68" t="str">
        <f>VLOOKUP(Tabelle_Abfrage_von_MS_Access_Database[[#This Row],[LAND]],Texte!$A$4:$C$261,Texte!$A$1+1,FALSE)</f>
        <v>Marshall-Inseln</v>
      </c>
      <c r="C237" s="68" t="s">
        <v>525</v>
      </c>
      <c r="D237" s="68" t="s">
        <v>557</v>
      </c>
      <c r="E237" s="69">
        <v>0</v>
      </c>
      <c r="F237" s="69">
        <v>0</v>
      </c>
      <c r="G237" s="69">
        <v>0</v>
      </c>
      <c r="H237" s="69">
        <v>0</v>
      </c>
      <c r="I237" s="69">
        <v>0</v>
      </c>
      <c r="J237" s="69">
        <v>0</v>
      </c>
      <c r="K237" s="69">
        <v>0</v>
      </c>
      <c r="L237" s="69">
        <v>0</v>
      </c>
      <c r="M237" s="69">
        <v>0</v>
      </c>
      <c r="N237" s="69">
        <v>0</v>
      </c>
      <c r="O237" s="69">
        <v>0</v>
      </c>
      <c r="P237" s="69">
        <v>0</v>
      </c>
      <c r="Q237" s="69">
        <v>0</v>
      </c>
      <c r="R237" s="69">
        <v>0</v>
      </c>
      <c r="S237" s="69">
        <v>0</v>
      </c>
      <c r="T237" s="69">
        <v>0</v>
      </c>
      <c r="U237" s="69">
        <v>0</v>
      </c>
      <c r="V237" s="69">
        <v>179720</v>
      </c>
      <c r="W237" s="70"/>
      <c r="X237" s="69">
        <v>24200</v>
      </c>
      <c r="Y237" s="69">
        <v>1308</v>
      </c>
      <c r="Z237" s="69">
        <v>19549</v>
      </c>
      <c r="AA237" s="69">
        <v>131683</v>
      </c>
      <c r="AB237" s="69">
        <v>72682</v>
      </c>
      <c r="AC237" s="69">
        <v>71270</v>
      </c>
      <c r="AD237" s="69">
        <v>0</v>
      </c>
      <c r="AE237" s="69">
        <v>7094</v>
      </c>
      <c r="AF237" s="69">
        <v>20960</v>
      </c>
      <c r="AG237" s="69">
        <v>0</v>
      </c>
      <c r="AH237" s="69">
        <v>1966641</v>
      </c>
      <c r="AI237" s="69">
        <v>225858</v>
      </c>
      <c r="AJ237" s="69">
        <v>113080</v>
      </c>
      <c r="AK237" s="69">
        <v>157192</v>
      </c>
      <c r="AL237" s="69">
        <v>445085</v>
      </c>
      <c r="AM237" s="69">
        <v>268340</v>
      </c>
      <c r="AN237" s="69">
        <v>115693</v>
      </c>
      <c r="AO237" s="69">
        <v>82805</v>
      </c>
      <c r="AP237" s="69">
        <v>334430</v>
      </c>
      <c r="AQ237" s="69">
        <v>312730</v>
      </c>
      <c r="AR237" s="69">
        <v>358935</v>
      </c>
      <c r="AS237" s="69">
        <v>106255</v>
      </c>
      <c r="AT237" s="69">
        <v>122142</v>
      </c>
      <c r="AU237" s="69">
        <v>11152548</v>
      </c>
      <c r="AV237">
        <v>143809</v>
      </c>
      <c r="AW237">
        <v>470587</v>
      </c>
      <c r="AX237">
        <v>123481</v>
      </c>
    </row>
    <row r="238" spans="1:50" ht="14.5" x14ac:dyDescent="0.35">
      <c r="A238" s="68" t="s">
        <v>463</v>
      </c>
      <c r="B238" s="68" t="str">
        <f>VLOOKUP(Tabelle_Abfrage_von_MS_Access_Database[[#This Row],[LAND]],Texte!$A$4:$C$261,Texte!$A$1+1,FALSE)</f>
        <v>Palau</v>
      </c>
      <c r="C238" s="68" t="s">
        <v>528</v>
      </c>
      <c r="D238" s="68" t="s">
        <v>557</v>
      </c>
      <c r="E238" s="69">
        <v>0</v>
      </c>
      <c r="F238" s="69">
        <v>0</v>
      </c>
      <c r="G238" s="69">
        <v>0</v>
      </c>
      <c r="H238" s="69">
        <v>0</v>
      </c>
      <c r="I238" s="69">
        <v>0</v>
      </c>
      <c r="J238" s="69">
        <v>0</v>
      </c>
      <c r="K238" s="69">
        <v>0</v>
      </c>
      <c r="L238" s="69">
        <v>0</v>
      </c>
      <c r="M238" s="69">
        <v>0</v>
      </c>
      <c r="N238" s="69">
        <v>0</v>
      </c>
      <c r="O238" s="69">
        <v>0</v>
      </c>
      <c r="P238" s="69">
        <v>0</v>
      </c>
      <c r="Q238" s="69">
        <v>0</v>
      </c>
      <c r="R238" s="69">
        <v>0</v>
      </c>
      <c r="S238" s="69">
        <v>0</v>
      </c>
      <c r="T238" s="69">
        <v>0</v>
      </c>
      <c r="U238" s="69">
        <v>0</v>
      </c>
      <c r="V238" s="70"/>
      <c r="W238" s="70"/>
      <c r="X238" s="70"/>
      <c r="Y238" s="69">
        <v>0</v>
      </c>
      <c r="Z238" s="69">
        <v>0</v>
      </c>
      <c r="AA238" s="69">
        <v>0</v>
      </c>
      <c r="AB238" s="69">
        <v>121399</v>
      </c>
      <c r="AC238" s="69">
        <v>1674</v>
      </c>
      <c r="AD238" s="69">
        <v>7932</v>
      </c>
      <c r="AE238" s="69">
        <v>110999</v>
      </c>
      <c r="AF238" s="69">
        <v>3580</v>
      </c>
      <c r="AG238" s="69">
        <v>8848</v>
      </c>
      <c r="AH238" s="70"/>
      <c r="AI238" s="69">
        <v>2581</v>
      </c>
      <c r="AJ238" s="69">
        <v>3332</v>
      </c>
      <c r="AK238" s="70"/>
      <c r="AL238" s="69">
        <v>0</v>
      </c>
      <c r="AM238" s="69">
        <v>0</v>
      </c>
      <c r="AN238" s="69">
        <v>6537</v>
      </c>
      <c r="AO238" s="69">
        <v>3004</v>
      </c>
      <c r="AP238" s="69">
        <v>16810</v>
      </c>
      <c r="AQ238" s="69">
        <v>15639</v>
      </c>
      <c r="AR238" s="69">
        <v>7468</v>
      </c>
      <c r="AS238" s="69">
        <v>198233</v>
      </c>
      <c r="AT238" s="69">
        <v>3627</v>
      </c>
      <c r="AU238" s="69">
        <v>34275</v>
      </c>
      <c r="AV238">
        <v>57130</v>
      </c>
      <c r="AW238">
        <v>40436</v>
      </c>
      <c r="AX238">
        <v>2285</v>
      </c>
    </row>
    <row r="239" spans="1:50" ht="14.5" x14ac:dyDescent="0.35">
      <c r="A239" s="68" t="s">
        <v>465</v>
      </c>
      <c r="B239" s="68" t="str">
        <f>VLOOKUP(Tabelle_Abfrage_von_MS_Access_Database[[#This Row],[LAND]],Texte!$A$4:$C$261,Texte!$A$1+1,FALSE)</f>
        <v>Amerikanisch-Samoa</v>
      </c>
      <c r="C239" s="68" t="s">
        <v>532</v>
      </c>
      <c r="D239" s="68" t="s">
        <v>557</v>
      </c>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69">
        <v>0</v>
      </c>
      <c r="AC239" s="69">
        <v>1515</v>
      </c>
      <c r="AD239" s="69">
        <v>0</v>
      </c>
      <c r="AE239" s="69">
        <v>0</v>
      </c>
      <c r="AF239" s="69">
        <v>79670</v>
      </c>
      <c r="AG239" s="69">
        <v>19921</v>
      </c>
      <c r="AH239" s="69">
        <v>0</v>
      </c>
      <c r="AI239" s="69">
        <v>0</v>
      </c>
      <c r="AJ239" s="69">
        <v>6475</v>
      </c>
      <c r="AK239" s="69">
        <v>29195</v>
      </c>
      <c r="AL239" s="69">
        <v>9329</v>
      </c>
      <c r="AM239" s="69">
        <v>2852</v>
      </c>
      <c r="AN239" s="69">
        <v>26233</v>
      </c>
      <c r="AO239" s="70"/>
      <c r="AP239" s="69">
        <v>0</v>
      </c>
      <c r="AQ239" s="69">
        <v>4692</v>
      </c>
      <c r="AR239" s="69">
        <v>294</v>
      </c>
      <c r="AS239" s="69">
        <v>109</v>
      </c>
      <c r="AT239" s="69">
        <v>8963</v>
      </c>
      <c r="AU239" s="69">
        <v>68937</v>
      </c>
      <c r="AV239">
        <v>53915</v>
      </c>
      <c r="AW239">
        <v>126136</v>
      </c>
      <c r="AX239">
        <v>11019</v>
      </c>
    </row>
    <row r="240" spans="1:50" ht="14.5" x14ac:dyDescent="0.35">
      <c r="A240" s="68" t="s">
        <v>467</v>
      </c>
      <c r="B240" s="68" t="str">
        <f>VLOOKUP(Tabelle_Abfrage_von_MS_Access_Database[[#This Row],[LAND]],Texte!$A$4:$C$261,Texte!$A$1+1,FALSE)</f>
        <v>Guam</v>
      </c>
      <c r="C240" s="68" t="s">
        <v>531</v>
      </c>
      <c r="D240" s="68" t="s">
        <v>557</v>
      </c>
      <c r="E240" s="69">
        <v>0</v>
      </c>
      <c r="F240" s="69">
        <v>0</v>
      </c>
      <c r="G240" s="69">
        <v>0</v>
      </c>
      <c r="H240" s="69">
        <v>0</v>
      </c>
      <c r="I240" s="69">
        <v>0</v>
      </c>
      <c r="J240" s="69">
        <v>0</v>
      </c>
      <c r="K240" s="69">
        <v>0</v>
      </c>
      <c r="L240" s="69">
        <v>0</v>
      </c>
      <c r="M240" s="69">
        <v>0</v>
      </c>
      <c r="N240" s="69">
        <v>0</v>
      </c>
      <c r="O240" s="69">
        <v>0</v>
      </c>
      <c r="P240" s="69">
        <v>0</v>
      </c>
      <c r="Q240" s="69">
        <v>0</v>
      </c>
      <c r="R240" s="69">
        <v>0</v>
      </c>
      <c r="S240" s="69">
        <v>0</v>
      </c>
      <c r="T240" s="69">
        <v>0</v>
      </c>
      <c r="U240" s="69">
        <v>0</v>
      </c>
      <c r="V240" s="70"/>
      <c r="W240" s="70"/>
      <c r="X240" s="70"/>
      <c r="Y240" s="70"/>
      <c r="Z240" s="70"/>
      <c r="AA240" s="70"/>
      <c r="AB240" s="69">
        <v>93449</v>
      </c>
      <c r="AC240" s="69">
        <v>3877</v>
      </c>
      <c r="AD240" s="69">
        <v>87833</v>
      </c>
      <c r="AE240" s="69">
        <v>67600</v>
      </c>
      <c r="AF240" s="69">
        <v>14141</v>
      </c>
      <c r="AG240" s="69">
        <v>3350</v>
      </c>
      <c r="AH240" s="69">
        <v>10489</v>
      </c>
      <c r="AI240" s="69">
        <v>24108</v>
      </c>
      <c r="AJ240" s="69">
        <v>119234</v>
      </c>
      <c r="AK240" s="69">
        <v>172396</v>
      </c>
      <c r="AL240" s="69">
        <v>4689397</v>
      </c>
      <c r="AM240" s="69">
        <v>34378</v>
      </c>
      <c r="AN240" s="70"/>
      <c r="AO240" s="69">
        <v>11637</v>
      </c>
      <c r="AP240" s="69">
        <v>133114</v>
      </c>
      <c r="AQ240" s="69">
        <v>102124</v>
      </c>
      <c r="AR240" s="69">
        <v>62635</v>
      </c>
      <c r="AS240" s="69">
        <v>64833</v>
      </c>
      <c r="AT240" s="69">
        <v>43831</v>
      </c>
      <c r="AU240" s="69">
        <v>23935</v>
      </c>
      <c r="AV240">
        <v>499116</v>
      </c>
      <c r="AW240">
        <v>77315</v>
      </c>
      <c r="AX240">
        <v>192645</v>
      </c>
    </row>
    <row r="241" spans="1:50" ht="14.5" x14ac:dyDescent="0.35">
      <c r="A241" s="68" t="s">
        <v>469</v>
      </c>
      <c r="B241" s="68" t="str">
        <f>VLOOKUP(Tabelle_Abfrage_von_MS_Access_Database[[#This Row],[LAND]],Texte!$A$4:$C$261,Texte!$A$1+1,FALSE)</f>
        <v>Kl.amerikan.Überseeinseln</v>
      </c>
      <c r="C241" s="68" t="s">
        <v>532</v>
      </c>
      <c r="D241" s="68" t="s">
        <v>557</v>
      </c>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69">
        <v>0</v>
      </c>
      <c r="AC241" s="69">
        <v>0</v>
      </c>
      <c r="AD241" s="69">
        <v>2018</v>
      </c>
      <c r="AE241" s="69">
        <v>0</v>
      </c>
      <c r="AF241" s="69">
        <v>28058</v>
      </c>
      <c r="AG241" s="69">
        <v>0</v>
      </c>
      <c r="AH241" s="69">
        <v>0</v>
      </c>
      <c r="AI241" s="69">
        <v>0</v>
      </c>
      <c r="AJ241" s="69">
        <v>0</v>
      </c>
      <c r="AK241" s="69">
        <v>6020</v>
      </c>
      <c r="AL241" s="69">
        <v>8982</v>
      </c>
      <c r="AM241" s="69">
        <v>0</v>
      </c>
      <c r="AN241" s="69">
        <v>0</v>
      </c>
      <c r="AO241" s="69">
        <v>2205</v>
      </c>
      <c r="AP241" s="69">
        <v>0</v>
      </c>
      <c r="AQ241" s="69">
        <v>1029</v>
      </c>
      <c r="AR241" s="69">
        <v>0</v>
      </c>
      <c r="AS241" s="69">
        <v>176</v>
      </c>
      <c r="AT241" s="69">
        <v>22420</v>
      </c>
      <c r="AU241" s="69">
        <v>58088</v>
      </c>
      <c r="AV241">
        <v>0</v>
      </c>
      <c r="AW241">
        <v>0</v>
      </c>
      <c r="AX241">
        <v>0</v>
      </c>
    </row>
    <row r="242" spans="1:50" ht="14.5" x14ac:dyDescent="0.35">
      <c r="A242" s="68" t="s">
        <v>471</v>
      </c>
      <c r="B242" s="68" t="str">
        <f>VLOOKUP(Tabelle_Abfrage_von_MS_Access_Database[[#This Row],[LAND]],Texte!$A$4:$C$261,Texte!$A$1+1,FALSE)</f>
        <v>Kokosinseln</v>
      </c>
      <c r="C242" s="68" t="s">
        <v>532</v>
      </c>
      <c r="D242" s="68" t="s">
        <v>557</v>
      </c>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69">
        <v>0</v>
      </c>
      <c r="AC242" s="69">
        <v>2567</v>
      </c>
      <c r="AD242" s="69">
        <v>16046</v>
      </c>
      <c r="AE242" s="69">
        <v>7813</v>
      </c>
      <c r="AF242" s="69">
        <v>16800</v>
      </c>
      <c r="AG242" s="70"/>
      <c r="AH242" s="69">
        <v>0</v>
      </c>
      <c r="AI242" s="69">
        <v>0</v>
      </c>
      <c r="AJ242" s="69">
        <v>0</v>
      </c>
      <c r="AK242" s="69">
        <v>0</v>
      </c>
      <c r="AL242" s="69">
        <v>0</v>
      </c>
      <c r="AM242" s="69">
        <v>9958</v>
      </c>
      <c r="AN242" s="70"/>
      <c r="AO242" s="69">
        <v>0</v>
      </c>
      <c r="AP242" s="69">
        <v>0</v>
      </c>
      <c r="AQ242" s="69">
        <v>0</v>
      </c>
      <c r="AR242" s="69">
        <v>0</v>
      </c>
      <c r="AS242" s="69">
        <v>0</v>
      </c>
      <c r="AT242" s="69">
        <v>832</v>
      </c>
      <c r="AU242" s="69">
        <v>0</v>
      </c>
      <c r="AV242">
        <v>2758</v>
      </c>
      <c r="AW242">
        <v>0</v>
      </c>
      <c r="AX242">
        <v>0</v>
      </c>
    </row>
    <row r="243" spans="1:50" ht="14.5" x14ac:dyDescent="0.35">
      <c r="A243" s="68" t="s">
        <v>473</v>
      </c>
      <c r="B243" s="68" t="str">
        <f>VLOOKUP(Tabelle_Abfrage_von_MS_Access_Database[[#This Row],[LAND]],Texte!$A$4:$C$261,Texte!$A$1+1,FALSE)</f>
        <v>Weihnachtsinseln</v>
      </c>
      <c r="C243" s="68" t="s">
        <v>532</v>
      </c>
      <c r="D243" s="68" t="s">
        <v>557</v>
      </c>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69">
        <v>0</v>
      </c>
      <c r="AC243" s="69">
        <v>0</v>
      </c>
      <c r="AD243" s="69">
        <v>2020</v>
      </c>
      <c r="AE243" s="69">
        <v>20402</v>
      </c>
      <c r="AF243" s="69">
        <v>105122</v>
      </c>
      <c r="AG243" s="69">
        <v>42538</v>
      </c>
      <c r="AH243" s="69">
        <v>274235</v>
      </c>
      <c r="AI243" s="69">
        <v>0</v>
      </c>
      <c r="AJ243" s="69">
        <v>3729</v>
      </c>
      <c r="AK243" s="69">
        <v>18686</v>
      </c>
      <c r="AL243" s="69">
        <v>0</v>
      </c>
      <c r="AM243" s="69">
        <v>0</v>
      </c>
      <c r="AN243" s="69">
        <v>2971</v>
      </c>
      <c r="AO243" s="69">
        <v>3072</v>
      </c>
      <c r="AP243" s="69">
        <v>0</v>
      </c>
      <c r="AQ243" s="69">
        <v>67450</v>
      </c>
      <c r="AR243" s="69">
        <v>0</v>
      </c>
      <c r="AS243" s="70"/>
      <c r="AT243" s="69">
        <v>0</v>
      </c>
      <c r="AU243" s="69">
        <v>0</v>
      </c>
      <c r="AV243">
        <v>0</v>
      </c>
      <c r="AW243">
        <v>0</v>
      </c>
      <c r="AX243">
        <v>0</v>
      </c>
    </row>
    <row r="244" spans="1:50" ht="14.5" x14ac:dyDescent="0.35">
      <c r="A244" s="68" t="s">
        <v>475</v>
      </c>
      <c r="B244" s="68" t="str">
        <f>VLOOKUP(Tabelle_Abfrage_von_MS_Access_Database[[#This Row],[LAND]],Texte!$A$4:$C$261,Texte!$A$1+1,FALSE)</f>
        <v>Heard u. McDonaldinseln</v>
      </c>
      <c r="C244" s="68" t="s">
        <v>532</v>
      </c>
      <c r="D244" s="68" t="s">
        <v>557</v>
      </c>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69">
        <v>0</v>
      </c>
      <c r="AC244" s="69">
        <v>0</v>
      </c>
      <c r="AD244" s="70"/>
      <c r="AE244" s="69">
        <v>0</v>
      </c>
      <c r="AF244" s="70"/>
      <c r="AG244" s="69">
        <v>0</v>
      </c>
      <c r="AH244" s="70"/>
      <c r="AI244" s="70"/>
      <c r="AJ244" s="70"/>
      <c r="AK244" s="69">
        <v>0</v>
      </c>
      <c r="AL244" s="70"/>
      <c r="AM244" s="70"/>
      <c r="AN244" s="70"/>
      <c r="AO244" s="70"/>
      <c r="AP244" s="70"/>
      <c r="AQ244" s="70"/>
      <c r="AR244" s="70"/>
      <c r="AS244" s="70"/>
      <c r="AT244" s="70"/>
      <c r="AU244" s="70"/>
    </row>
    <row r="245" spans="1:50" ht="14.5" x14ac:dyDescent="0.35">
      <c r="A245" s="68" t="s">
        <v>477</v>
      </c>
      <c r="B245" s="68" t="str">
        <f>VLOOKUP(Tabelle_Abfrage_von_MS_Access_Database[[#This Row],[LAND]],Texte!$A$4:$C$261,Texte!$A$1+1,FALSE)</f>
        <v>Norfolkinseln</v>
      </c>
      <c r="C245" s="68" t="s">
        <v>533</v>
      </c>
      <c r="D245" s="68" t="s">
        <v>557</v>
      </c>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69">
        <v>0</v>
      </c>
      <c r="AE245" s="69">
        <v>1908</v>
      </c>
      <c r="AF245" s="69">
        <v>243678</v>
      </c>
      <c r="AG245" s="69">
        <v>0</v>
      </c>
      <c r="AH245" s="69">
        <v>0</v>
      </c>
      <c r="AI245" s="69">
        <v>0</v>
      </c>
      <c r="AJ245" s="70"/>
      <c r="AK245" s="69">
        <v>0</v>
      </c>
      <c r="AL245" s="70"/>
      <c r="AM245" s="70"/>
      <c r="AN245" s="70"/>
      <c r="AO245" s="70"/>
      <c r="AP245" s="69">
        <v>1383</v>
      </c>
      <c r="AQ245" s="70"/>
      <c r="AR245" s="70"/>
      <c r="AS245" s="69">
        <v>0</v>
      </c>
      <c r="AT245" s="70"/>
      <c r="AU245" s="70"/>
      <c r="AV245">
        <v>0</v>
      </c>
      <c r="AW245">
        <v>1440</v>
      </c>
      <c r="AX245">
        <v>2438</v>
      </c>
    </row>
    <row r="246" spans="1:50" ht="14.5" x14ac:dyDescent="0.35">
      <c r="A246" s="68" t="s">
        <v>479</v>
      </c>
      <c r="B246" s="68" t="str">
        <f>VLOOKUP(Tabelle_Abfrage_von_MS_Access_Database[[#This Row],[LAND]],Texte!$A$4:$C$261,Texte!$A$1+1,FALSE)</f>
        <v>Cookinseln</v>
      </c>
      <c r="C246" s="68" t="s">
        <v>532</v>
      </c>
      <c r="D246" s="68" t="s">
        <v>557</v>
      </c>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69">
        <v>0</v>
      </c>
      <c r="AC246" s="69">
        <v>272537</v>
      </c>
      <c r="AD246" s="69">
        <v>51902</v>
      </c>
      <c r="AE246" s="70"/>
      <c r="AF246" s="69">
        <v>10625</v>
      </c>
      <c r="AG246" s="69">
        <v>0</v>
      </c>
      <c r="AH246" s="69">
        <v>10506</v>
      </c>
      <c r="AI246" s="69">
        <v>75742</v>
      </c>
      <c r="AJ246" s="69">
        <v>0</v>
      </c>
      <c r="AK246" s="69">
        <v>23051</v>
      </c>
      <c r="AL246" s="69">
        <v>3200</v>
      </c>
      <c r="AM246" s="69">
        <v>25451</v>
      </c>
      <c r="AN246" s="70"/>
      <c r="AO246" s="70"/>
      <c r="AP246" s="69">
        <v>75801</v>
      </c>
      <c r="AQ246" s="69">
        <v>62826</v>
      </c>
      <c r="AR246" s="69">
        <v>49824</v>
      </c>
      <c r="AS246" s="69">
        <v>12824</v>
      </c>
      <c r="AT246" s="69">
        <v>0</v>
      </c>
      <c r="AU246" s="69">
        <v>33800</v>
      </c>
      <c r="AV246">
        <v>121003</v>
      </c>
      <c r="AW246">
        <v>20856</v>
      </c>
      <c r="AX246">
        <v>61659</v>
      </c>
    </row>
    <row r="247" spans="1:50" ht="14.5" x14ac:dyDescent="0.35">
      <c r="A247" s="68" t="s">
        <v>481</v>
      </c>
      <c r="B247" s="68" t="str">
        <f>VLOOKUP(Tabelle_Abfrage_von_MS_Access_Database[[#This Row],[LAND]],Texte!$A$4:$C$261,Texte!$A$1+1,FALSE)</f>
        <v>Niue</v>
      </c>
      <c r="C247" s="68" t="s">
        <v>532</v>
      </c>
      <c r="D247" s="68" t="s">
        <v>557</v>
      </c>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69">
        <v>0</v>
      </c>
      <c r="AC247" s="69">
        <v>14790</v>
      </c>
      <c r="AD247" s="69">
        <v>0</v>
      </c>
      <c r="AE247" s="69">
        <v>0</v>
      </c>
      <c r="AF247" s="70"/>
      <c r="AG247" s="69">
        <v>4908</v>
      </c>
      <c r="AH247" s="69">
        <v>0</v>
      </c>
      <c r="AI247" s="70"/>
      <c r="AJ247" s="69">
        <v>0</v>
      </c>
      <c r="AK247" s="69">
        <v>0</v>
      </c>
      <c r="AL247" s="69">
        <v>0</v>
      </c>
      <c r="AM247" s="69">
        <v>900</v>
      </c>
      <c r="AN247" s="70"/>
      <c r="AO247" s="69">
        <v>4083</v>
      </c>
      <c r="AP247" s="69">
        <v>8009</v>
      </c>
      <c r="AQ247" s="69">
        <v>2457</v>
      </c>
      <c r="AR247" s="69">
        <v>16893</v>
      </c>
      <c r="AS247" s="69">
        <v>6989</v>
      </c>
      <c r="AT247" s="69">
        <v>4850</v>
      </c>
      <c r="AU247" s="69">
        <v>66858</v>
      </c>
      <c r="AV247">
        <v>0</v>
      </c>
      <c r="AW247">
        <v>0</v>
      </c>
      <c r="AX247">
        <v>0</v>
      </c>
    </row>
    <row r="248" spans="1:50" ht="14.5" x14ac:dyDescent="0.35">
      <c r="A248" s="68" t="s">
        <v>483</v>
      </c>
      <c r="B248" s="68" t="str">
        <f>VLOOKUP(Tabelle_Abfrage_von_MS_Access_Database[[#This Row],[LAND]],Texte!$A$4:$C$261,Texte!$A$1+1,FALSE)</f>
        <v>Tokelauinseln</v>
      </c>
      <c r="C248" s="68" t="s">
        <v>532</v>
      </c>
      <c r="D248" s="68" t="s">
        <v>557</v>
      </c>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69">
        <v>0</v>
      </c>
      <c r="AC248" s="69">
        <v>34145</v>
      </c>
      <c r="AD248" s="69">
        <v>309364</v>
      </c>
      <c r="AE248" s="69">
        <v>323148</v>
      </c>
      <c r="AF248" s="69">
        <v>30559</v>
      </c>
      <c r="AG248" s="69">
        <v>229388</v>
      </c>
      <c r="AH248" s="69">
        <v>57542</v>
      </c>
      <c r="AI248" s="69">
        <v>25000</v>
      </c>
      <c r="AJ248" s="69">
        <v>2549</v>
      </c>
      <c r="AK248" s="69">
        <v>9358</v>
      </c>
      <c r="AL248" s="69">
        <v>906</v>
      </c>
      <c r="AM248" s="69">
        <v>147541</v>
      </c>
      <c r="AN248" s="69">
        <v>158268</v>
      </c>
      <c r="AO248" s="69">
        <v>36404</v>
      </c>
      <c r="AP248" s="69">
        <v>157673</v>
      </c>
      <c r="AQ248" s="69">
        <v>77880</v>
      </c>
      <c r="AR248" s="69">
        <v>23163</v>
      </c>
      <c r="AS248" s="69">
        <v>11954</v>
      </c>
      <c r="AT248" s="69">
        <v>4732</v>
      </c>
      <c r="AU248" s="69">
        <v>8342</v>
      </c>
      <c r="AV248">
        <v>392914</v>
      </c>
      <c r="AW248">
        <v>111791</v>
      </c>
      <c r="AX248">
        <v>17050</v>
      </c>
    </row>
    <row r="249" spans="1:50" ht="14.5" x14ac:dyDescent="0.35">
      <c r="A249" s="68" t="s">
        <v>485</v>
      </c>
      <c r="B249" s="68" t="str">
        <f>VLOOKUP(Tabelle_Abfrage_von_MS_Access_Database[[#This Row],[LAND]],Texte!$A$4:$C$261,Texte!$A$1+1,FALSE)</f>
        <v>Polargebiete</v>
      </c>
      <c r="C249" s="68" t="s">
        <v>518</v>
      </c>
      <c r="D249" s="68" t="s">
        <v>530</v>
      </c>
      <c r="E249" s="69">
        <v>0</v>
      </c>
      <c r="F249" s="69">
        <v>0</v>
      </c>
      <c r="G249" s="69">
        <v>0</v>
      </c>
      <c r="H249" s="69">
        <v>0</v>
      </c>
      <c r="I249" s="69">
        <v>0</v>
      </c>
      <c r="J249" s="69">
        <v>0</v>
      </c>
      <c r="K249" s="69">
        <v>0</v>
      </c>
      <c r="L249" s="69">
        <v>0</v>
      </c>
      <c r="M249" s="69">
        <v>0</v>
      </c>
      <c r="N249" s="69">
        <v>0</v>
      </c>
      <c r="O249" s="69">
        <v>1000</v>
      </c>
      <c r="P249" s="69">
        <v>0</v>
      </c>
      <c r="Q249" s="69">
        <v>0</v>
      </c>
      <c r="R249" s="69">
        <v>0</v>
      </c>
      <c r="S249" s="69">
        <v>0</v>
      </c>
      <c r="T249" s="69">
        <v>0</v>
      </c>
      <c r="U249" s="69">
        <v>0</v>
      </c>
      <c r="V249" s="69">
        <v>31976</v>
      </c>
      <c r="W249" s="69">
        <v>5305</v>
      </c>
      <c r="X249" s="69">
        <v>0</v>
      </c>
      <c r="Y249" s="69">
        <v>0</v>
      </c>
      <c r="Z249" s="69">
        <v>0</v>
      </c>
      <c r="AA249" s="69">
        <v>0</v>
      </c>
      <c r="AB249" s="70"/>
      <c r="AC249" s="70"/>
      <c r="AD249" s="70"/>
      <c r="AE249" s="70"/>
      <c r="AF249" s="70"/>
      <c r="AG249" s="70"/>
      <c r="AH249" s="70"/>
      <c r="AI249" s="70"/>
      <c r="AJ249" s="70"/>
      <c r="AK249" s="70"/>
      <c r="AL249" s="70"/>
      <c r="AM249" s="70"/>
      <c r="AN249" s="70"/>
      <c r="AO249" s="70"/>
      <c r="AP249" s="70"/>
      <c r="AQ249" s="70"/>
      <c r="AR249" s="70"/>
      <c r="AS249" s="70"/>
      <c r="AT249" s="70"/>
      <c r="AU249" s="70"/>
    </row>
    <row r="250" spans="1:50" ht="14.5" x14ac:dyDescent="0.35">
      <c r="A250" s="68" t="s">
        <v>487</v>
      </c>
      <c r="B250" s="68" t="str">
        <f>VLOOKUP(Tabelle_Abfrage_von_MS_Access_Database[[#This Row],[LAND]],Texte!$A$4:$C$261,Texte!$A$1+1,FALSE)</f>
        <v>Antarktis</v>
      </c>
      <c r="C250" s="68" t="s">
        <v>532</v>
      </c>
      <c r="D250" s="68" t="s">
        <v>557</v>
      </c>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69">
        <v>0</v>
      </c>
      <c r="AC250" s="69">
        <v>35644</v>
      </c>
      <c r="AD250" s="69">
        <v>0</v>
      </c>
      <c r="AE250" s="69">
        <v>0</v>
      </c>
      <c r="AF250" s="69">
        <v>0</v>
      </c>
      <c r="AG250" s="70"/>
      <c r="AH250" s="70"/>
      <c r="AI250" s="70"/>
      <c r="AJ250" s="70"/>
      <c r="AK250" s="69">
        <v>0</v>
      </c>
      <c r="AL250" s="69">
        <v>0</v>
      </c>
      <c r="AM250" s="69">
        <v>0</v>
      </c>
      <c r="AN250" s="70"/>
      <c r="AO250" s="70"/>
      <c r="AP250" s="70"/>
      <c r="AQ250" s="70"/>
      <c r="AR250" s="70"/>
      <c r="AS250" s="70"/>
      <c r="AT250" s="70"/>
      <c r="AU250" s="70"/>
      <c r="AX250">
        <v>9612</v>
      </c>
    </row>
    <row r="251" spans="1:50" ht="14.5" x14ac:dyDescent="0.35">
      <c r="A251" s="68" t="s">
        <v>489</v>
      </c>
      <c r="B251" s="68" t="str">
        <f>VLOOKUP(Tabelle_Abfrage_von_MS_Access_Database[[#This Row],[LAND]],Texte!$A$4:$C$261,Texte!$A$1+1,FALSE)</f>
        <v>Bouvetinsel</v>
      </c>
      <c r="C251" s="68" t="s">
        <v>532</v>
      </c>
      <c r="D251" s="68" t="s">
        <v>557</v>
      </c>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69">
        <v>0</v>
      </c>
      <c r="AC251" s="69">
        <v>1964</v>
      </c>
      <c r="AD251" s="69">
        <v>382700</v>
      </c>
      <c r="AE251" s="69">
        <v>750698</v>
      </c>
      <c r="AF251" s="69">
        <v>80000</v>
      </c>
      <c r="AG251" s="70"/>
      <c r="AH251" s="69">
        <v>0</v>
      </c>
      <c r="AI251" s="70"/>
      <c r="AJ251" s="70"/>
      <c r="AK251" s="69">
        <v>0</v>
      </c>
      <c r="AL251" s="69">
        <v>0</v>
      </c>
      <c r="AM251" s="69">
        <v>3455</v>
      </c>
      <c r="AN251" s="70"/>
      <c r="AO251" s="70"/>
      <c r="AP251" s="70"/>
      <c r="AQ251" s="70"/>
      <c r="AR251" s="70"/>
      <c r="AS251" s="70"/>
      <c r="AT251" s="70"/>
      <c r="AU251" s="70"/>
      <c r="AX251">
        <v>0</v>
      </c>
    </row>
    <row r="252" spans="1:50" ht="14.5" x14ac:dyDescent="0.35">
      <c r="A252" s="68" t="s">
        <v>491</v>
      </c>
      <c r="B252" s="68" t="str">
        <f>VLOOKUP(Tabelle_Abfrage_von_MS_Access_Database[[#This Row],[LAND]],Texte!$A$4:$C$261,Texte!$A$1+1,FALSE)</f>
        <v>Südgeorg./Südl.Sandwichi.</v>
      </c>
      <c r="C252" s="68" t="s">
        <v>532</v>
      </c>
      <c r="D252" s="68" t="s">
        <v>557</v>
      </c>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69">
        <v>0</v>
      </c>
      <c r="AC252" s="69">
        <v>2343</v>
      </c>
      <c r="AD252" s="69">
        <v>0</v>
      </c>
      <c r="AE252" s="69">
        <v>0</v>
      </c>
      <c r="AF252" s="69">
        <v>0</v>
      </c>
      <c r="AG252" s="69">
        <v>0</v>
      </c>
      <c r="AH252" s="69">
        <v>0</v>
      </c>
      <c r="AI252" s="69">
        <v>0</v>
      </c>
      <c r="AJ252" s="69">
        <v>0</v>
      </c>
      <c r="AK252" s="69">
        <v>0</v>
      </c>
      <c r="AL252" s="69">
        <v>0</v>
      </c>
      <c r="AM252" s="69">
        <v>0</v>
      </c>
      <c r="AN252" s="70"/>
      <c r="AO252" s="70"/>
      <c r="AP252" s="70"/>
      <c r="AQ252" s="70"/>
      <c r="AR252" s="70"/>
      <c r="AS252" s="70"/>
      <c r="AT252" s="70"/>
      <c r="AU252" s="70"/>
    </row>
    <row r="253" spans="1:50" ht="14.5" x14ac:dyDescent="0.35">
      <c r="A253" s="68" t="s">
        <v>493</v>
      </c>
      <c r="B253" s="68" t="str">
        <f>VLOOKUP(Tabelle_Abfrage_von_MS_Access_Database[[#This Row],[LAND]],Texte!$A$4:$C$261,Texte!$A$1+1,FALSE)</f>
        <v>Französische Südgebiete</v>
      </c>
      <c r="C253" s="68" t="s">
        <v>532</v>
      </c>
      <c r="D253" s="68" t="s">
        <v>557</v>
      </c>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69">
        <v>0</v>
      </c>
      <c r="AC253" s="69">
        <v>35197</v>
      </c>
      <c r="AD253" s="69">
        <v>5382</v>
      </c>
      <c r="AE253" s="69">
        <v>112515</v>
      </c>
      <c r="AF253" s="69">
        <v>15101</v>
      </c>
      <c r="AG253" s="69">
        <v>15106</v>
      </c>
      <c r="AH253" s="69">
        <v>30710</v>
      </c>
      <c r="AI253" s="69">
        <v>212593</v>
      </c>
      <c r="AJ253" s="69">
        <v>228629</v>
      </c>
      <c r="AK253" s="69">
        <v>563992</v>
      </c>
      <c r="AL253" s="69">
        <v>703959</v>
      </c>
      <c r="AM253" s="69">
        <v>555145</v>
      </c>
      <c r="AN253" s="69">
        <v>3229</v>
      </c>
      <c r="AO253" s="70"/>
      <c r="AP253" s="70"/>
      <c r="AQ253" s="70"/>
      <c r="AR253" s="70"/>
      <c r="AS253" s="70"/>
      <c r="AT253" s="70"/>
      <c r="AU253" s="70"/>
      <c r="AX253">
        <v>0</v>
      </c>
    </row>
    <row r="254" spans="1:50" ht="14.5" x14ac:dyDescent="0.35">
      <c r="A254" s="68" t="s">
        <v>495</v>
      </c>
      <c r="B254" s="68" t="str">
        <f>VLOOKUP(Tabelle_Abfrage_von_MS_Access_Database[[#This Row],[LAND]],Texte!$A$4:$C$261,Texte!$A$1+1,FALSE)</f>
        <v>Bordvorräte EU</v>
      </c>
      <c r="C254" s="68" t="s">
        <v>531</v>
      </c>
      <c r="D254" s="68" t="s">
        <v>557</v>
      </c>
      <c r="E254" s="69">
        <v>0</v>
      </c>
      <c r="F254" s="69">
        <v>0</v>
      </c>
      <c r="G254" s="69">
        <v>0</v>
      </c>
      <c r="H254" s="69">
        <v>0</v>
      </c>
      <c r="I254" s="69">
        <v>0</v>
      </c>
      <c r="J254" s="69">
        <v>0</v>
      </c>
      <c r="K254" s="69">
        <v>0</v>
      </c>
      <c r="L254" s="69">
        <v>0</v>
      </c>
      <c r="M254" s="69">
        <v>0</v>
      </c>
      <c r="N254" s="69">
        <v>0</v>
      </c>
      <c r="O254" s="69">
        <v>0</v>
      </c>
      <c r="P254" s="69">
        <v>0</v>
      </c>
      <c r="Q254" s="69">
        <v>0</v>
      </c>
      <c r="R254" s="69">
        <v>0</v>
      </c>
      <c r="S254" s="69">
        <v>0</v>
      </c>
      <c r="T254" s="69">
        <v>0</v>
      </c>
      <c r="U254" s="69">
        <v>0</v>
      </c>
      <c r="V254" s="70"/>
      <c r="W254" s="70"/>
      <c r="X254" s="70"/>
      <c r="Y254" s="70"/>
      <c r="Z254" s="70"/>
      <c r="AA254" s="70"/>
      <c r="AB254" s="69">
        <v>10913906</v>
      </c>
      <c r="AC254" s="69">
        <v>7774997</v>
      </c>
      <c r="AD254" s="69">
        <v>16026741</v>
      </c>
      <c r="AE254" s="69">
        <v>11737146</v>
      </c>
      <c r="AF254" s="69">
        <v>30159555</v>
      </c>
      <c r="AG254" s="69">
        <v>24144963</v>
      </c>
      <c r="AH254" s="69">
        <v>25274521</v>
      </c>
      <c r="AI254" s="69">
        <v>34166732</v>
      </c>
      <c r="AJ254" s="69">
        <v>13647388</v>
      </c>
      <c r="AK254" s="69">
        <v>20740916</v>
      </c>
      <c r="AL254" s="69">
        <v>41903416</v>
      </c>
      <c r="AM254" s="69">
        <v>47328863</v>
      </c>
      <c r="AN254" s="69">
        <v>47020920</v>
      </c>
      <c r="AO254" s="69">
        <v>56262036</v>
      </c>
      <c r="AP254" s="69">
        <v>42559666</v>
      </c>
      <c r="AQ254" s="69">
        <v>40209460</v>
      </c>
      <c r="AR254" s="69">
        <v>58825290</v>
      </c>
      <c r="AS254" s="69">
        <v>74499764</v>
      </c>
      <c r="AT254" s="69">
        <v>110426727</v>
      </c>
      <c r="AU254" s="69">
        <v>39026214</v>
      </c>
      <c r="AV254">
        <v>34926418</v>
      </c>
    </row>
    <row r="255" spans="1:50" ht="14.5" x14ac:dyDescent="0.35">
      <c r="A255" s="68" t="s">
        <v>497</v>
      </c>
      <c r="B255" s="68" t="str">
        <f>VLOOKUP(Tabelle_Abfrage_von_MS_Access_Database[[#This Row],[LAND]],Texte!$A$4:$C$261,Texte!$A$1+1,FALSE)</f>
        <v>Bordvorräte Drittstaaten</v>
      </c>
      <c r="C255" s="68" t="s">
        <v>531</v>
      </c>
      <c r="D255" s="68" t="s">
        <v>557</v>
      </c>
      <c r="E255" s="69">
        <v>0</v>
      </c>
      <c r="F255" s="69">
        <v>0</v>
      </c>
      <c r="G255" s="69">
        <v>0</v>
      </c>
      <c r="H255" s="69">
        <v>0</v>
      </c>
      <c r="I255" s="69">
        <v>0</v>
      </c>
      <c r="J255" s="69">
        <v>0</v>
      </c>
      <c r="K255" s="69">
        <v>0</v>
      </c>
      <c r="L255" s="69">
        <v>0</v>
      </c>
      <c r="M255" s="69">
        <v>0</v>
      </c>
      <c r="N255" s="69">
        <v>0</v>
      </c>
      <c r="O255" s="69">
        <v>0</v>
      </c>
      <c r="P255" s="69">
        <v>0</v>
      </c>
      <c r="Q255" s="69">
        <v>0</v>
      </c>
      <c r="R255" s="69">
        <v>0</v>
      </c>
      <c r="S255" s="69">
        <v>0</v>
      </c>
      <c r="T255" s="69">
        <v>0</v>
      </c>
      <c r="U255" s="69">
        <v>0</v>
      </c>
      <c r="V255" s="70"/>
      <c r="W255" s="70"/>
      <c r="X255" s="70"/>
      <c r="Y255" s="70"/>
      <c r="Z255" s="70"/>
      <c r="AA255" s="70"/>
      <c r="AB255" s="69">
        <v>12174884</v>
      </c>
      <c r="AC255" s="69">
        <v>11549656</v>
      </c>
      <c r="AD255" s="69">
        <v>17735814</v>
      </c>
      <c r="AE255" s="69">
        <v>18741676</v>
      </c>
      <c r="AF255" s="69">
        <v>47303194</v>
      </c>
      <c r="AG255" s="69">
        <v>24543142</v>
      </c>
      <c r="AH255" s="69">
        <v>36438724</v>
      </c>
      <c r="AI255" s="69">
        <v>63106149</v>
      </c>
      <c r="AJ255" s="69">
        <v>33584729</v>
      </c>
      <c r="AK255" s="69">
        <v>52429711</v>
      </c>
      <c r="AL255" s="69">
        <v>74223146</v>
      </c>
      <c r="AM255" s="69">
        <v>71084951</v>
      </c>
      <c r="AN255" s="69">
        <v>51550310</v>
      </c>
      <c r="AO255" s="69">
        <v>53018904</v>
      </c>
      <c r="AP255" s="69">
        <v>45597518</v>
      </c>
      <c r="AQ255" s="69">
        <v>27333019</v>
      </c>
      <c r="AR255" s="69">
        <v>36685688</v>
      </c>
      <c r="AS255" s="69">
        <v>60655596</v>
      </c>
      <c r="AT255" s="69">
        <v>61835633</v>
      </c>
      <c r="AU255" s="69">
        <v>16817626</v>
      </c>
      <c r="AV255">
        <v>52692898</v>
      </c>
      <c r="AW255">
        <v>116458209</v>
      </c>
      <c r="AX255">
        <v>210846287</v>
      </c>
    </row>
    <row r="256" spans="1:50" ht="14.5" x14ac:dyDescent="0.35">
      <c r="A256" s="68" t="s">
        <v>764</v>
      </c>
      <c r="B256" s="68" t="str">
        <f>VLOOKUP(Tabelle_Abfrage_von_MS_Access_Database[[#This Row],[LAND]],Texte!$A$4:$C$261,Texte!$A$1+1,FALSE)</f>
        <v>Hohe See</v>
      </c>
      <c r="C256" s="68" t="s">
        <v>558</v>
      </c>
      <c r="D256" s="68" t="s">
        <v>557</v>
      </c>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69">
        <v>95694</v>
      </c>
      <c r="AS256" s="69">
        <v>43394</v>
      </c>
      <c r="AT256" s="70"/>
      <c r="AU256" s="69"/>
      <c r="AW256">
        <v>3563</v>
      </c>
      <c r="AX256">
        <v>38059</v>
      </c>
    </row>
    <row r="257" spans="1:50" ht="14.5" x14ac:dyDescent="0.35">
      <c r="A257" s="68" t="s">
        <v>498</v>
      </c>
      <c r="B257" s="68" t="str">
        <f>VLOOKUP(Tabelle_Abfrage_von_MS_Access_Database[[#This Row],[LAND]],Texte!$A$4:$C$261,Texte!$A$1+1,FALSE)</f>
        <v>Nicht ermitt. Gebiete EU</v>
      </c>
      <c r="C257" s="68" t="s">
        <v>537</v>
      </c>
      <c r="D257" s="68" t="s">
        <v>557</v>
      </c>
      <c r="E257" s="69">
        <v>0</v>
      </c>
      <c r="F257" s="69">
        <v>0</v>
      </c>
      <c r="G257" s="69">
        <v>0</v>
      </c>
      <c r="H257" s="69">
        <v>0</v>
      </c>
      <c r="I257" s="69">
        <v>0</v>
      </c>
      <c r="J257" s="69">
        <v>0</v>
      </c>
      <c r="K257" s="69">
        <v>0</v>
      </c>
      <c r="L257" s="69">
        <v>0</v>
      </c>
      <c r="M257" s="69">
        <v>0</v>
      </c>
      <c r="N257" s="69">
        <v>0</v>
      </c>
      <c r="O257" s="69">
        <v>0</v>
      </c>
      <c r="P257" s="69">
        <v>0</v>
      </c>
      <c r="Q257" s="69">
        <v>0</v>
      </c>
      <c r="R257" s="69">
        <v>0</v>
      </c>
      <c r="S257" s="69">
        <v>0</v>
      </c>
      <c r="T257" s="69">
        <v>0</v>
      </c>
      <c r="U257" s="69">
        <v>0</v>
      </c>
      <c r="V257" s="70"/>
      <c r="W257" s="70"/>
      <c r="X257" s="70"/>
      <c r="Y257" s="70"/>
      <c r="Z257" s="70"/>
      <c r="AA257" s="70"/>
      <c r="AB257" s="70"/>
      <c r="AC257" s="70"/>
      <c r="AD257" s="70"/>
      <c r="AE257" s="70"/>
      <c r="AF257" s="70"/>
      <c r="AG257" s="70"/>
      <c r="AH257" s="69">
        <v>261186</v>
      </c>
      <c r="AI257" s="69">
        <v>122767</v>
      </c>
      <c r="AJ257" s="70"/>
      <c r="AK257" s="70"/>
      <c r="AL257" s="70"/>
      <c r="AM257" s="70"/>
      <c r="AN257" s="70"/>
      <c r="AO257" s="70"/>
      <c r="AP257" s="70"/>
      <c r="AQ257" s="70"/>
      <c r="AR257" s="70"/>
      <c r="AS257" s="70"/>
      <c r="AT257" s="70"/>
      <c r="AU257" s="70"/>
    </row>
    <row r="258" spans="1:50" ht="14.5" x14ac:dyDescent="0.35">
      <c r="A258" s="68" t="s">
        <v>500</v>
      </c>
      <c r="B258" s="68" t="str">
        <f>VLOOKUP(Tabelle_Abfrage_von_MS_Access_Database[[#This Row],[LAND]],Texte!$A$4:$C$261,Texte!$A$1+1,FALSE)</f>
        <v>Nicht ermitt.Drittstaaten</v>
      </c>
      <c r="C258" s="68" t="s">
        <v>532</v>
      </c>
      <c r="D258" s="68" t="s">
        <v>557</v>
      </c>
      <c r="E258" s="69">
        <v>0</v>
      </c>
      <c r="F258" s="69">
        <v>0</v>
      </c>
      <c r="G258" s="69">
        <v>0</v>
      </c>
      <c r="H258" s="69">
        <v>0</v>
      </c>
      <c r="I258" s="69">
        <v>0</v>
      </c>
      <c r="J258" s="69">
        <v>0</v>
      </c>
      <c r="K258" s="69">
        <v>0</v>
      </c>
      <c r="L258" s="69">
        <v>0</v>
      </c>
      <c r="M258" s="69">
        <v>0</v>
      </c>
      <c r="N258" s="69">
        <v>0</v>
      </c>
      <c r="O258" s="69">
        <v>0</v>
      </c>
      <c r="P258" s="69">
        <v>0</v>
      </c>
      <c r="Q258" s="69">
        <v>0</v>
      </c>
      <c r="R258" s="69">
        <v>0</v>
      </c>
      <c r="S258" s="69">
        <v>0</v>
      </c>
      <c r="T258" s="69">
        <v>0</v>
      </c>
      <c r="U258" s="69">
        <v>0</v>
      </c>
      <c r="V258" s="70"/>
      <c r="W258" s="70"/>
      <c r="X258" s="70"/>
      <c r="Y258" s="70"/>
      <c r="Z258" s="70"/>
      <c r="AA258" s="70"/>
      <c r="AB258" s="69">
        <v>0</v>
      </c>
      <c r="AC258" s="69">
        <v>175390948</v>
      </c>
      <c r="AD258" s="69">
        <v>178841318</v>
      </c>
      <c r="AE258" s="69">
        <v>82745906</v>
      </c>
      <c r="AF258" s="69">
        <v>165710557</v>
      </c>
      <c r="AG258" s="69">
        <v>147940411</v>
      </c>
      <c r="AH258" s="69">
        <v>117870596</v>
      </c>
      <c r="AI258" s="69">
        <v>21115530</v>
      </c>
      <c r="AJ258" s="69">
        <v>17514299</v>
      </c>
      <c r="AK258" s="70"/>
      <c r="AL258" s="70"/>
      <c r="AM258" s="69">
        <v>3882</v>
      </c>
      <c r="AN258" s="69">
        <v>2973</v>
      </c>
      <c r="AO258" s="69">
        <v>50166</v>
      </c>
      <c r="AP258" s="70"/>
      <c r="AQ258" s="69">
        <v>54000</v>
      </c>
      <c r="AR258" s="69">
        <v>7805</v>
      </c>
      <c r="AS258" s="70"/>
      <c r="AT258" s="70"/>
      <c r="AU258" s="70"/>
      <c r="AX258">
        <v>3793</v>
      </c>
    </row>
    <row r="259" spans="1:50" ht="14.5" x14ac:dyDescent="0.35">
      <c r="A259" s="68" t="s">
        <v>502</v>
      </c>
      <c r="B259" s="68" t="str">
        <f>VLOOKUP(Tabelle_Abfrage_von_MS_Access_Database[[#This Row],[LAND]],Texte!$A$4:$C$261,Texte!$A$1+1,FALSE)</f>
        <v>Kanarische Inseln (1998)</v>
      </c>
      <c r="C259" s="68" t="s">
        <v>508</v>
      </c>
      <c r="D259" s="68" t="s">
        <v>526</v>
      </c>
      <c r="E259" s="69">
        <v>2430000</v>
      </c>
      <c r="F259" s="69">
        <v>1801000</v>
      </c>
      <c r="G259" s="69">
        <v>2300000</v>
      </c>
      <c r="H259" s="69">
        <v>3063000</v>
      </c>
      <c r="I259" s="69">
        <v>2299000</v>
      </c>
      <c r="J259" s="69">
        <v>2126000</v>
      </c>
      <c r="K259" s="69">
        <v>2081000</v>
      </c>
      <c r="L259" s="69">
        <v>3011000</v>
      </c>
      <c r="M259" s="69">
        <v>3485000</v>
      </c>
      <c r="N259" s="69">
        <v>2115000</v>
      </c>
      <c r="O259" s="69">
        <v>0</v>
      </c>
      <c r="P259" s="69">
        <v>0</v>
      </c>
      <c r="Q259" s="69">
        <v>0</v>
      </c>
      <c r="R259" s="69">
        <v>0</v>
      </c>
      <c r="S259" s="69">
        <v>0</v>
      </c>
      <c r="T259" s="69">
        <v>0</v>
      </c>
      <c r="U259" s="69">
        <v>0</v>
      </c>
      <c r="V259" s="69">
        <v>1456072</v>
      </c>
      <c r="W259" s="69">
        <v>2650953</v>
      </c>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row>
    <row r="260" spans="1:50" ht="14.5" x14ac:dyDescent="0.35">
      <c r="A260" s="68" t="s">
        <v>766</v>
      </c>
      <c r="B260" s="66" t="s">
        <v>766</v>
      </c>
      <c r="C260" s="68" t="s">
        <v>508</v>
      </c>
      <c r="D260" s="68" t="s">
        <v>557</v>
      </c>
      <c r="E260" s="69">
        <v>7398697000</v>
      </c>
      <c r="F260" s="69">
        <v>8832482000</v>
      </c>
      <c r="G260" s="69">
        <v>9803961000</v>
      </c>
      <c r="H260" s="69">
        <v>10473351000</v>
      </c>
      <c r="I260" s="69">
        <v>11170291000</v>
      </c>
      <c r="J260" s="69">
        <v>11756017000</v>
      </c>
      <c r="K260" s="69">
        <v>13216246000</v>
      </c>
      <c r="L260" s="69">
        <v>15126782000</v>
      </c>
      <c r="M260" s="69">
        <v>15662191000</v>
      </c>
      <c r="N260" s="69">
        <v>16467604000</v>
      </c>
      <c r="O260" s="69">
        <v>18564858000</v>
      </c>
      <c r="P260" s="69">
        <v>20786716000</v>
      </c>
      <c r="Q260" s="69">
        <v>22732926000</v>
      </c>
      <c r="R260" s="69">
        <v>23685218000</v>
      </c>
      <c r="S260" s="69">
        <v>24141241000</v>
      </c>
      <c r="T260" s="69">
        <v>22248368000</v>
      </c>
      <c r="U260" s="69">
        <v>24143062000</v>
      </c>
      <c r="V260" s="69">
        <v>27774826418</v>
      </c>
      <c r="W260" s="69">
        <v>28533284267</v>
      </c>
      <c r="X260" s="69">
        <v>32242538531</v>
      </c>
      <c r="Y260" s="69">
        <v>36004331691</v>
      </c>
      <c r="Z260" s="69">
        <v>37841758489</v>
      </c>
      <c r="AA260" s="69">
        <v>42566935494</v>
      </c>
      <c r="AB260" s="69">
        <v>45145604109</v>
      </c>
      <c r="AC260" s="69">
        <v>46517136645</v>
      </c>
      <c r="AD260" s="69">
        <v>47173340021</v>
      </c>
      <c r="AE260" s="69">
        <v>53089521581</v>
      </c>
      <c r="AF260" s="69">
        <v>55448604424</v>
      </c>
      <c r="AG260" s="69">
        <v>58900513468</v>
      </c>
      <c r="AH260" s="69">
        <v>64136851983</v>
      </c>
      <c r="AI260" s="69">
        <v>64143767742</v>
      </c>
      <c r="AJ260" s="69">
        <v>51298360709</v>
      </c>
      <c r="AK260" s="69">
        <v>59697619656</v>
      </c>
      <c r="AL260" s="69">
        <v>65142954257</v>
      </c>
      <c r="AM260" s="69">
        <v>64575974583</v>
      </c>
      <c r="AN260" s="69">
        <v>65625095392</v>
      </c>
      <c r="AO260" s="69">
        <v>66291677495</v>
      </c>
      <c r="AP260" s="69">
        <v>67677014243</v>
      </c>
      <c r="AQ260" s="69">
        <v>68008768076</v>
      </c>
      <c r="AR260" s="69">
        <v>73870526979</v>
      </c>
      <c r="AS260" s="69">
        <v>77781964314</v>
      </c>
      <c r="AT260" s="69">
        <v>79042749952</v>
      </c>
      <c r="AU260" s="69">
        <v>74131210903</v>
      </c>
      <c r="AV260">
        <v>85636341462</v>
      </c>
      <c r="AW260">
        <v>100073176482</v>
      </c>
      <c r="AX260">
        <v>104647859156</v>
      </c>
    </row>
    <row r="261" spans="1:50" ht="14.5" x14ac:dyDescent="0.35">
      <c r="A261" s="68" t="s">
        <v>767</v>
      </c>
      <c r="B261" s="66" t="s">
        <v>767</v>
      </c>
      <c r="C261" s="68" t="s">
        <v>522</v>
      </c>
      <c r="D261" s="68" t="s">
        <v>557</v>
      </c>
      <c r="E261" s="70"/>
      <c r="F261" s="70"/>
      <c r="G261" s="70"/>
      <c r="H261" s="70"/>
      <c r="I261" s="70"/>
      <c r="J261" s="70"/>
      <c r="K261" s="70"/>
      <c r="L261" s="70"/>
      <c r="M261" s="70"/>
      <c r="N261" s="70"/>
      <c r="O261" s="70"/>
      <c r="P261" s="70"/>
      <c r="Q261" s="70"/>
      <c r="R261" s="70"/>
      <c r="S261" s="69">
        <v>26242580000</v>
      </c>
      <c r="T261" s="69">
        <v>25571916000</v>
      </c>
      <c r="U261" s="69">
        <v>27965402000</v>
      </c>
      <c r="V261" s="69">
        <v>32230366165</v>
      </c>
      <c r="W261" s="69">
        <v>33602074478</v>
      </c>
      <c r="X261" s="69">
        <v>38918856658</v>
      </c>
      <c r="Y261" s="69">
        <v>43045412747</v>
      </c>
      <c r="Z261" s="69">
        <v>45337426034</v>
      </c>
      <c r="AA261" s="69">
        <v>51314772796</v>
      </c>
      <c r="AB261" s="69">
        <v>54296026499</v>
      </c>
      <c r="AC261" s="69">
        <v>56211424865</v>
      </c>
      <c r="AD261" s="69">
        <v>57160106950</v>
      </c>
      <c r="AE261" s="69">
        <v>64516702202</v>
      </c>
      <c r="AF261" s="69">
        <v>67413571977</v>
      </c>
      <c r="AG261" s="69">
        <v>72498187273</v>
      </c>
      <c r="AH261" s="69">
        <v>80264214050</v>
      </c>
      <c r="AI261" s="69">
        <v>81507164857</v>
      </c>
      <c r="AJ261" s="69">
        <v>64338817736</v>
      </c>
      <c r="AK261" s="69">
        <v>74853249159</v>
      </c>
      <c r="AL261" s="69">
        <v>82346127000</v>
      </c>
      <c r="AM261" s="69">
        <v>81695830977</v>
      </c>
      <c r="AN261" s="69">
        <v>83202814101</v>
      </c>
      <c r="AO261" s="69">
        <v>84484609960</v>
      </c>
      <c r="AP261" s="69">
        <v>86819100186</v>
      </c>
      <c r="AQ261" s="69">
        <v>87157014360</v>
      </c>
      <c r="AR261" s="69">
        <v>94801539444</v>
      </c>
      <c r="AS261" s="69">
        <v>100328243204</v>
      </c>
      <c r="AT261" s="69">
        <v>102282077302</v>
      </c>
      <c r="AU261" s="69">
        <v>96112146074</v>
      </c>
      <c r="AV261">
        <v>111879484923</v>
      </c>
      <c r="AW261">
        <v>131957563793</v>
      </c>
      <c r="AX261">
        <v>135544069216</v>
      </c>
    </row>
    <row r="262" spans="1:50" ht="14.5" x14ac:dyDescent="0.35">
      <c r="A262" s="68" t="s">
        <v>768</v>
      </c>
      <c r="B262" s="66" t="s">
        <v>768</v>
      </c>
      <c r="C262" s="68" t="s">
        <v>536</v>
      </c>
      <c r="D262" s="68" t="s">
        <v>557</v>
      </c>
      <c r="E262" s="70"/>
      <c r="F262" s="70"/>
      <c r="G262" s="70"/>
      <c r="H262" s="70"/>
      <c r="I262" s="70"/>
      <c r="J262" s="70"/>
      <c r="K262" s="70"/>
      <c r="L262" s="70"/>
      <c r="M262" s="70"/>
      <c r="N262" s="70"/>
      <c r="O262" s="70"/>
      <c r="P262" s="70"/>
      <c r="Q262" s="70"/>
      <c r="R262" s="70"/>
      <c r="S262" s="69">
        <v>26430055000</v>
      </c>
      <c r="T262" s="69">
        <v>25764618000</v>
      </c>
      <c r="U262" s="69">
        <v>28170693000</v>
      </c>
      <c r="V262" s="69">
        <v>32524334064</v>
      </c>
      <c r="W262" s="69">
        <v>33942520185</v>
      </c>
      <c r="X262" s="69">
        <v>39326306617</v>
      </c>
      <c r="Y262" s="69">
        <v>43598333463</v>
      </c>
      <c r="Z262" s="69">
        <v>45914046753</v>
      </c>
      <c r="AA262" s="69">
        <v>52037647490</v>
      </c>
      <c r="AB262" s="69">
        <v>55227314041</v>
      </c>
      <c r="AC262" s="69">
        <v>57293476379</v>
      </c>
      <c r="AD262" s="69">
        <v>58476417859</v>
      </c>
      <c r="AE262" s="69">
        <v>66141447384</v>
      </c>
      <c r="AF262" s="69">
        <v>69302318161</v>
      </c>
      <c r="AG262" s="69">
        <v>74859280198</v>
      </c>
      <c r="AH262" s="69">
        <v>83108906495</v>
      </c>
      <c r="AI262" s="69">
        <v>84798957903</v>
      </c>
      <c r="AJ262" s="69">
        <v>66526689387</v>
      </c>
      <c r="AK262" s="69">
        <v>77144847705</v>
      </c>
      <c r="AL262" s="69">
        <v>84835842004</v>
      </c>
      <c r="AM262" s="69">
        <v>84277825533</v>
      </c>
      <c r="AN262" s="69">
        <v>85627014298</v>
      </c>
      <c r="AO262" s="69">
        <v>87009934925</v>
      </c>
      <c r="AP262" s="69">
        <v>89457174596</v>
      </c>
      <c r="AQ262" s="69">
        <v>89885736013</v>
      </c>
      <c r="AR262" s="69">
        <v>97771548051</v>
      </c>
      <c r="AS262" s="69">
        <v>103622763952</v>
      </c>
      <c r="AT262" s="69">
        <v>105608747326</v>
      </c>
      <c r="AU262" s="69">
        <v>99234492678</v>
      </c>
      <c r="AV262">
        <v>115696776081</v>
      </c>
      <c r="AW262">
        <v>136861358540</v>
      </c>
      <c r="AX262">
        <v>140664192171</v>
      </c>
    </row>
    <row r="263" spans="1:50" ht="14.5" x14ac:dyDescent="0.35">
      <c r="A263" s="68" t="s">
        <v>769</v>
      </c>
      <c r="B263" s="66" t="s">
        <v>769</v>
      </c>
      <c r="C263" s="68" t="s">
        <v>541</v>
      </c>
      <c r="D263" s="68" t="s">
        <v>557</v>
      </c>
      <c r="E263" s="70"/>
      <c r="F263" s="70"/>
      <c r="G263" s="70"/>
      <c r="H263" s="70"/>
      <c r="I263" s="70"/>
      <c r="J263" s="70"/>
      <c r="K263" s="70"/>
      <c r="L263" s="70"/>
      <c r="M263" s="70"/>
      <c r="N263" s="70"/>
      <c r="O263" s="70"/>
      <c r="P263" s="70"/>
      <c r="Q263" s="70"/>
      <c r="R263" s="70"/>
      <c r="S263" s="69">
        <v>26569330000</v>
      </c>
      <c r="T263" s="69">
        <v>25970579000</v>
      </c>
      <c r="U263" s="69">
        <v>28475261000</v>
      </c>
      <c r="V263" s="69">
        <v>32906985837</v>
      </c>
      <c r="W263" s="69">
        <v>34387069273</v>
      </c>
      <c r="X263" s="69">
        <v>40069280928</v>
      </c>
      <c r="Y263" s="69">
        <v>44209336260</v>
      </c>
      <c r="Z263" s="69">
        <v>46492322346</v>
      </c>
      <c r="AA263" s="69">
        <v>52704473757</v>
      </c>
      <c r="AB263" s="69">
        <v>56113919230</v>
      </c>
      <c r="AC263" s="69">
        <v>58286141951</v>
      </c>
      <c r="AD263" s="69">
        <v>59508904527</v>
      </c>
      <c r="AE263" s="69">
        <v>67360758177</v>
      </c>
      <c r="AF263" s="69">
        <v>70525838634</v>
      </c>
      <c r="AG263" s="69">
        <v>76179486939</v>
      </c>
      <c r="AH263" s="69">
        <v>84588151660</v>
      </c>
      <c r="AI263" s="69">
        <v>86325459705</v>
      </c>
      <c r="AJ263" s="69">
        <v>67654885415</v>
      </c>
      <c r="AK263" s="69">
        <v>78274519438</v>
      </c>
      <c r="AL263" s="69">
        <v>85968977026</v>
      </c>
      <c r="AM263" s="69">
        <v>85387294537</v>
      </c>
      <c r="AN263" s="69">
        <v>86739667261</v>
      </c>
      <c r="AO263" s="69">
        <v>88187271515</v>
      </c>
      <c r="AP263" s="69">
        <v>90833072811</v>
      </c>
      <c r="AQ263" s="69">
        <v>91169325028</v>
      </c>
      <c r="AR263" s="69">
        <v>99068931364</v>
      </c>
      <c r="AS263" s="69">
        <v>104942772140</v>
      </c>
      <c r="AT263" s="69">
        <v>106937312707</v>
      </c>
      <c r="AU263" s="69">
        <v>100469062632</v>
      </c>
      <c r="AV263">
        <v>117206808058</v>
      </c>
      <c r="AW263">
        <v>138783450396</v>
      </c>
      <c r="AX263">
        <v>142609814288</v>
      </c>
    </row>
    <row r="264" spans="1:50" ht="14.5" x14ac:dyDescent="0.35">
      <c r="A264" s="68" t="s">
        <v>504</v>
      </c>
      <c r="B264" s="66" t="str">
        <f>IF(Texte!A1=2,"World","Welt")</f>
        <v>Welt</v>
      </c>
      <c r="C264" s="68" t="s">
        <v>508</v>
      </c>
      <c r="D264" s="68" t="s">
        <v>557</v>
      </c>
      <c r="E264" s="69">
        <v>12796473000</v>
      </c>
      <c r="F264" s="69">
        <v>14988960000</v>
      </c>
      <c r="G264" s="69">
        <v>16436328000</v>
      </c>
      <c r="H264" s="69">
        <v>18296758000</v>
      </c>
      <c r="I264" s="69">
        <v>19393505000</v>
      </c>
      <c r="J264" s="69">
        <v>20140508000</v>
      </c>
      <c r="K264" s="69">
        <v>22855932000</v>
      </c>
      <c r="L264" s="69">
        <v>25723458000</v>
      </c>
      <c r="M264" s="69">
        <v>24888900000</v>
      </c>
      <c r="N264" s="69">
        <v>24885604000</v>
      </c>
      <c r="O264" s="69">
        <v>27849139000</v>
      </c>
      <c r="P264" s="69">
        <v>31199142000</v>
      </c>
      <c r="Q264" s="69">
        <v>33870391000</v>
      </c>
      <c r="R264" s="69">
        <v>34812406000</v>
      </c>
      <c r="S264" s="69">
        <v>35432101000</v>
      </c>
      <c r="T264" s="69">
        <v>33950632000</v>
      </c>
      <c r="U264" s="69">
        <v>37245934000</v>
      </c>
      <c r="V264" s="69">
        <v>42151280096</v>
      </c>
      <c r="W264" s="69">
        <v>44489565005</v>
      </c>
      <c r="X264" s="69">
        <v>51962252781</v>
      </c>
      <c r="Y264" s="69">
        <v>56302402524</v>
      </c>
      <c r="Z264" s="69">
        <v>60265873236</v>
      </c>
      <c r="AA264" s="69">
        <v>69692301917</v>
      </c>
      <c r="AB264" s="69">
        <v>74251462706</v>
      </c>
      <c r="AC264" s="69">
        <v>77400404940</v>
      </c>
      <c r="AD264" s="69">
        <v>78902594499</v>
      </c>
      <c r="AE264" s="69">
        <v>89847712088</v>
      </c>
      <c r="AF264" s="69">
        <v>94705447310</v>
      </c>
      <c r="AG264" s="69">
        <v>103741778181</v>
      </c>
      <c r="AH264" s="69">
        <v>114680332611</v>
      </c>
      <c r="AI264" s="69">
        <v>117525346862</v>
      </c>
      <c r="AJ264" s="69">
        <v>93739239652</v>
      </c>
      <c r="AK264" s="69">
        <v>109372708483</v>
      </c>
      <c r="AL264" s="69">
        <v>121773598939</v>
      </c>
      <c r="AM264" s="69">
        <v>123543527304</v>
      </c>
      <c r="AN264" s="69">
        <v>125811587731</v>
      </c>
      <c r="AO264" s="69">
        <v>128106029512</v>
      </c>
      <c r="AP264" s="69">
        <v>131538381465</v>
      </c>
      <c r="AQ264" s="69">
        <v>131125204726</v>
      </c>
      <c r="AR264" s="69">
        <v>141939696066</v>
      </c>
      <c r="AS264" s="69">
        <v>150070983587</v>
      </c>
      <c r="AT264" s="69">
        <v>153501641776</v>
      </c>
      <c r="AU264" s="69">
        <v>142566443957</v>
      </c>
      <c r="AV264">
        <v>165585820155</v>
      </c>
      <c r="AW264">
        <v>194679484264</v>
      </c>
      <c r="AX264">
        <v>200546990928</v>
      </c>
    </row>
  </sheetData>
  <phoneticPr fontId="2" type="noConversion"/>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X264"/>
  <sheetViews>
    <sheetView topLeftCell="AJ1" workbookViewId="0"/>
  </sheetViews>
  <sheetFormatPr baseColWidth="10" defaultRowHeight="12.5" x14ac:dyDescent="0.25"/>
  <cols>
    <col min="1" max="1" width="8.453125" customWidth="1"/>
    <col min="2" max="2" width="23.54296875" customWidth="1"/>
    <col min="3" max="3" width="7.453125" customWidth="1"/>
    <col min="4" max="4" width="6.453125" customWidth="1"/>
    <col min="5" max="9" width="12" bestFit="1" customWidth="1"/>
    <col min="10" max="32" width="12" customWidth="1"/>
    <col min="33" max="35" width="12.453125" bestFit="1" customWidth="1"/>
    <col min="36" max="36" width="12" customWidth="1"/>
    <col min="37" max="40" width="12.453125" bestFit="1" customWidth="1"/>
    <col min="43" max="70" width="12" bestFit="1" customWidth="1"/>
    <col min="71" max="73" width="12.453125" bestFit="1" customWidth="1"/>
    <col min="74" max="74" width="12" bestFit="1" customWidth="1"/>
    <col min="75" max="77" width="12.453125" bestFit="1" customWidth="1"/>
    <col min="78" max="105" width="12" bestFit="1" customWidth="1"/>
    <col min="106" max="106" width="12.453125" bestFit="1" customWidth="1"/>
    <col min="107" max="107" width="12" bestFit="1" customWidth="1"/>
    <col min="108" max="108" width="12.453125" bestFit="1" customWidth="1"/>
    <col min="109" max="109" width="12" bestFit="1" customWidth="1"/>
    <col min="110" max="112" width="12.453125" bestFit="1" customWidth="1"/>
  </cols>
  <sheetData>
    <row r="1" spans="1:50" ht="14.5" x14ac:dyDescent="0.35">
      <c r="A1" s="71" t="s">
        <v>1</v>
      </c>
      <c r="B1" s="71" t="s">
        <v>2</v>
      </c>
      <c r="C1" s="71" t="s">
        <v>555</v>
      </c>
      <c r="D1" s="71" t="s">
        <v>556</v>
      </c>
      <c r="E1" s="71" t="s">
        <v>508</v>
      </c>
      <c r="F1" s="71" t="s">
        <v>509</v>
      </c>
      <c r="G1" s="71" t="s">
        <v>510</v>
      </c>
      <c r="H1" s="71" t="s">
        <v>511</v>
      </c>
      <c r="I1" s="71" t="s">
        <v>512</v>
      </c>
      <c r="J1" s="71" t="s">
        <v>513</v>
      </c>
      <c r="K1" s="71" t="s">
        <v>514</v>
      </c>
      <c r="L1" s="71" t="s">
        <v>515</v>
      </c>
      <c r="M1" s="71" t="s">
        <v>516</v>
      </c>
      <c r="N1" s="71" t="s">
        <v>517</v>
      </c>
      <c r="O1" s="71" t="s">
        <v>518</v>
      </c>
      <c r="P1" s="71" t="s">
        <v>519</v>
      </c>
      <c r="Q1" s="71" t="s">
        <v>520</v>
      </c>
      <c r="R1" s="71" t="s">
        <v>521</v>
      </c>
      <c r="S1" s="71" t="s">
        <v>522</v>
      </c>
      <c r="T1" s="71" t="s">
        <v>523</v>
      </c>
      <c r="U1" s="71" t="s">
        <v>524</v>
      </c>
      <c r="V1" s="71" t="s">
        <v>525</v>
      </c>
      <c r="W1" s="71" t="s">
        <v>526</v>
      </c>
      <c r="X1" s="71" t="s">
        <v>527</v>
      </c>
      <c r="Y1" s="71" t="s">
        <v>528</v>
      </c>
      <c r="Z1" s="71" t="s">
        <v>529</v>
      </c>
      <c r="AA1" s="71" t="s">
        <v>530</v>
      </c>
      <c r="AB1" s="71" t="s">
        <v>531</v>
      </c>
      <c r="AC1" s="71" t="s">
        <v>532</v>
      </c>
      <c r="AD1" s="71" t="s">
        <v>533</v>
      </c>
      <c r="AE1" s="71" t="s">
        <v>534</v>
      </c>
      <c r="AF1" s="71" t="s">
        <v>535</v>
      </c>
      <c r="AG1" s="71" t="s">
        <v>536</v>
      </c>
      <c r="AH1" s="71" t="s">
        <v>537</v>
      </c>
      <c r="AI1" s="71" t="s">
        <v>538</v>
      </c>
      <c r="AJ1" s="71" t="s">
        <v>539</v>
      </c>
      <c r="AK1" s="71" t="s">
        <v>540</v>
      </c>
      <c r="AL1" s="71" t="s">
        <v>541</v>
      </c>
      <c r="AM1" s="71" t="s">
        <v>542</v>
      </c>
      <c r="AN1" s="71" t="s">
        <v>558</v>
      </c>
      <c r="AO1" s="71" t="s">
        <v>581</v>
      </c>
      <c r="AP1" s="71" t="s">
        <v>582</v>
      </c>
      <c r="AQ1" s="71" t="s">
        <v>761</v>
      </c>
      <c r="AR1" s="71" t="s">
        <v>763</v>
      </c>
      <c r="AS1" s="71" t="s">
        <v>770</v>
      </c>
      <c r="AT1" s="71" t="s">
        <v>772</v>
      </c>
      <c r="AU1" s="71" t="s">
        <v>773</v>
      </c>
      <c r="AV1" s="71" t="s">
        <v>774</v>
      </c>
      <c r="AW1" t="s">
        <v>775</v>
      </c>
      <c r="AX1" t="s">
        <v>776</v>
      </c>
    </row>
    <row r="2" spans="1:50" ht="14.5" x14ac:dyDescent="0.35">
      <c r="A2" s="72" t="s">
        <v>3</v>
      </c>
      <c r="B2" s="72" t="str">
        <f>VLOOKUP(Tabelle_Abfrage_von_MS_Access_Database3[[#This Row],[LAND]],Texte!$A$4:$C$261,Texte!$A$1+1,FALSE)</f>
        <v>Frankreich</v>
      </c>
      <c r="C2" s="72" t="s">
        <v>508</v>
      </c>
      <c r="D2" s="72" t="s">
        <v>557</v>
      </c>
      <c r="E2" s="73">
        <v>683185000</v>
      </c>
      <c r="F2" s="73">
        <v>801117000</v>
      </c>
      <c r="G2" s="73">
        <v>905721000</v>
      </c>
      <c r="H2" s="73">
        <v>909990000</v>
      </c>
      <c r="I2" s="73">
        <v>935529000</v>
      </c>
      <c r="J2" s="73">
        <v>1038086000</v>
      </c>
      <c r="K2" s="73">
        <v>1056408000</v>
      </c>
      <c r="L2" s="73">
        <v>1136339000</v>
      </c>
      <c r="M2" s="73">
        <v>1161944000</v>
      </c>
      <c r="N2" s="73">
        <v>1212698000</v>
      </c>
      <c r="O2" s="73">
        <v>1290770000</v>
      </c>
      <c r="P2" s="73">
        <v>1647995000</v>
      </c>
      <c r="Q2" s="73">
        <v>1698699000</v>
      </c>
      <c r="R2" s="73">
        <v>1872526000</v>
      </c>
      <c r="S2" s="73">
        <v>1916532000</v>
      </c>
      <c r="T2" s="73">
        <v>1802707000</v>
      </c>
      <c r="U2" s="73">
        <v>2153028000</v>
      </c>
      <c r="V2" s="73">
        <v>2386111715</v>
      </c>
      <c r="W2" s="73">
        <v>2486478107</v>
      </c>
      <c r="X2" s="73">
        <v>2687449504</v>
      </c>
      <c r="Y2" s="73">
        <v>3002644687</v>
      </c>
      <c r="Z2" s="73">
        <v>3291056791</v>
      </c>
      <c r="AA2" s="73">
        <v>3312314980</v>
      </c>
      <c r="AB2" s="73">
        <v>3198094227</v>
      </c>
      <c r="AC2" s="73">
        <v>2980596053</v>
      </c>
      <c r="AD2" s="73">
        <v>3145640183</v>
      </c>
      <c r="AE2" s="73">
        <v>3643885030</v>
      </c>
      <c r="AF2" s="73">
        <v>3897433862</v>
      </c>
      <c r="AG2" s="73">
        <v>3597656264</v>
      </c>
      <c r="AH2" s="73">
        <v>3674128747</v>
      </c>
      <c r="AI2" s="73">
        <v>3712262135</v>
      </c>
      <c r="AJ2" s="73">
        <v>2972958697</v>
      </c>
      <c r="AK2" s="73">
        <v>3234419819</v>
      </c>
      <c r="AL2" s="73">
        <v>3759621992</v>
      </c>
      <c r="AM2" s="73">
        <v>3727293280</v>
      </c>
      <c r="AN2" s="73">
        <v>3762526799</v>
      </c>
      <c r="AO2" s="73">
        <v>3629458688</v>
      </c>
      <c r="AP2" s="73">
        <v>3584711926</v>
      </c>
      <c r="AQ2" s="73">
        <v>3651419011</v>
      </c>
      <c r="AR2" s="73">
        <v>3952305678</v>
      </c>
      <c r="AS2" s="73">
        <v>4282996377</v>
      </c>
      <c r="AT2" s="73">
        <v>4224576483</v>
      </c>
      <c r="AU2" s="73">
        <v>3742253053</v>
      </c>
      <c r="AV2">
        <v>4544452889</v>
      </c>
      <c r="AW2">
        <v>5120920335</v>
      </c>
      <c r="AX2">
        <v>5320496367</v>
      </c>
    </row>
    <row r="3" spans="1:50" ht="14.5" x14ac:dyDescent="0.35">
      <c r="A3" s="72" t="s">
        <v>5</v>
      </c>
      <c r="B3" s="72" t="str">
        <f>VLOOKUP(Tabelle_Abfrage_von_MS_Access_Database3[[#This Row],[LAND]],Texte!$A$4:$C$261,Texte!$A$1+1,FALSE)</f>
        <v>Belgien und Luxemburg</v>
      </c>
      <c r="C3" s="72" t="s">
        <v>508</v>
      </c>
      <c r="D3" s="72" t="s">
        <v>528</v>
      </c>
      <c r="E3" s="73">
        <v>380272000</v>
      </c>
      <c r="F3" s="73">
        <v>451451000</v>
      </c>
      <c r="G3" s="73">
        <v>476412000</v>
      </c>
      <c r="H3" s="73">
        <v>506538000</v>
      </c>
      <c r="I3" s="73">
        <v>469783000</v>
      </c>
      <c r="J3" s="73">
        <v>525665000</v>
      </c>
      <c r="K3" s="73">
        <v>610443000</v>
      </c>
      <c r="L3" s="73">
        <v>665444000</v>
      </c>
      <c r="M3" s="73">
        <v>715869000</v>
      </c>
      <c r="N3" s="73">
        <v>725696000</v>
      </c>
      <c r="O3" s="73">
        <v>879648000</v>
      </c>
      <c r="P3" s="73">
        <v>1004421000</v>
      </c>
      <c r="Q3" s="73">
        <v>1175644000</v>
      </c>
      <c r="R3" s="73">
        <v>1272994000</v>
      </c>
      <c r="S3" s="73">
        <v>1300935000</v>
      </c>
      <c r="T3" s="73">
        <v>1172531000</v>
      </c>
      <c r="U3" s="73">
        <v>1321929000</v>
      </c>
      <c r="V3" s="73">
        <v>1300693718</v>
      </c>
      <c r="W3" s="73">
        <v>1186559621</v>
      </c>
      <c r="X3" s="73">
        <v>1378658535</v>
      </c>
      <c r="Y3" s="73">
        <v>1465896979</v>
      </c>
      <c r="Z3" s="74"/>
      <c r="AA3" s="74"/>
      <c r="AB3" s="74"/>
      <c r="AC3" s="74"/>
      <c r="AD3" s="74"/>
      <c r="AE3" s="74"/>
      <c r="AF3" s="74"/>
      <c r="AG3" s="74"/>
      <c r="AH3" s="74"/>
      <c r="AI3" s="74"/>
      <c r="AJ3" s="74"/>
      <c r="AK3" s="74"/>
      <c r="AL3" s="74"/>
      <c r="AM3" s="74"/>
      <c r="AN3" s="74"/>
      <c r="AO3" s="74"/>
      <c r="AP3" s="74"/>
      <c r="AQ3" s="74"/>
      <c r="AR3" s="74"/>
      <c r="AS3" s="74"/>
      <c r="AT3" s="74"/>
      <c r="AU3" s="74"/>
    </row>
    <row r="4" spans="1:50" ht="14.5" x14ac:dyDescent="0.35">
      <c r="A4" s="72" t="s">
        <v>7</v>
      </c>
      <c r="B4" s="72" t="str">
        <f>VLOOKUP(Tabelle_Abfrage_von_MS_Access_Database3[[#This Row],[LAND]],Texte!$A$4:$C$261,Texte!$A$1+1,FALSE)</f>
        <v>Niederlande</v>
      </c>
      <c r="C4" s="72" t="s">
        <v>508</v>
      </c>
      <c r="D4" s="72" t="s">
        <v>557</v>
      </c>
      <c r="E4" s="73">
        <v>486284000</v>
      </c>
      <c r="F4" s="73">
        <v>579234000</v>
      </c>
      <c r="G4" s="73">
        <v>618757000</v>
      </c>
      <c r="H4" s="73">
        <v>607243000</v>
      </c>
      <c r="I4" s="73">
        <v>667213000</v>
      </c>
      <c r="J4" s="73">
        <v>695816000</v>
      </c>
      <c r="K4" s="73">
        <v>742038000</v>
      </c>
      <c r="L4" s="73">
        <v>828584000</v>
      </c>
      <c r="M4" s="73">
        <v>820340000</v>
      </c>
      <c r="N4" s="73">
        <v>826283000</v>
      </c>
      <c r="O4" s="73">
        <v>916155000</v>
      </c>
      <c r="P4" s="73">
        <v>1029035000</v>
      </c>
      <c r="Q4" s="73">
        <v>1143340000</v>
      </c>
      <c r="R4" s="73">
        <v>1153807000</v>
      </c>
      <c r="S4" s="73">
        <v>1166029000</v>
      </c>
      <c r="T4" s="73">
        <v>1187941000</v>
      </c>
      <c r="U4" s="73">
        <v>1378559000</v>
      </c>
      <c r="V4" s="73">
        <v>1666934191</v>
      </c>
      <c r="W4" s="73">
        <v>1663420527</v>
      </c>
      <c r="X4" s="73">
        <v>1906155933</v>
      </c>
      <c r="Y4" s="73">
        <v>2105933872</v>
      </c>
      <c r="Z4" s="73">
        <v>2081347236</v>
      </c>
      <c r="AA4" s="73">
        <v>2285120513</v>
      </c>
      <c r="AB4" s="73">
        <v>2299078208</v>
      </c>
      <c r="AC4" s="73">
        <v>2552950440</v>
      </c>
      <c r="AD4" s="73">
        <v>2427270107</v>
      </c>
      <c r="AE4" s="73">
        <v>2556809200</v>
      </c>
      <c r="AF4" s="73">
        <v>2706233630</v>
      </c>
      <c r="AG4" s="73">
        <v>3048563623</v>
      </c>
      <c r="AH4" s="73">
        <v>3401536237</v>
      </c>
      <c r="AI4" s="73">
        <v>3369109484</v>
      </c>
      <c r="AJ4" s="73">
        <v>2766580265</v>
      </c>
      <c r="AK4" s="73">
        <v>3230503169</v>
      </c>
      <c r="AL4" s="73">
        <v>3670401588</v>
      </c>
      <c r="AM4" s="73">
        <v>3590787260</v>
      </c>
      <c r="AN4" s="73">
        <v>3409845366</v>
      </c>
      <c r="AO4" s="73">
        <v>3483417650</v>
      </c>
      <c r="AP4" s="73">
        <v>3520044233</v>
      </c>
      <c r="AQ4" s="73">
        <v>3487057240</v>
      </c>
      <c r="AR4" s="73">
        <v>4086818900</v>
      </c>
      <c r="AS4" s="73">
        <v>4276346150</v>
      </c>
      <c r="AT4" s="73">
        <v>4230751590</v>
      </c>
      <c r="AU4" s="73">
        <v>3982763248</v>
      </c>
      <c r="AV4">
        <v>4778323191</v>
      </c>
      <c r="AW4">
        <v>5839254241</v>
      </c>
      <c r="AX4">
        <v>5493852552</v>
      </c>
    </row>
    <row r="5" spans="1:50" ht="14.5" x14ac:dyDescent="0.35">
      <c r="A5" s="72" t="s">
        <v>9</v>
      </c>
      <c r="B5" s="72" t="str">
        <f>VLOOKUP(Tabelle_Abfrage_von_MS_Access_Database3[[#This Row],[LAND]],Texte!$A$4:$C$261,Texte!$A$1+1,FALSE)</f>
        <v>Deutschland</v>
      </c>
      <c r="C5" s="72" t="s">
        <v>508</v>
      </c>
      <c r="D5" s="72" t="s">
        <v>557</v>
      </c>
      <c r="E5" s="73">
        <v>7302232000</v>
      </c>
      <c r="F5" s="73">
        <v>8301883000</v>
      </c>
      <c r="G5" s="73">
        <v>9367407000</v>
      </c>
      <c r="H5" s="73">
        <v>9447237000</v>
      </c>
      <c r="I5" s="73">
        <v>9806677000</v>
      </c>
      <c r="J5" s="73">
        <v>10508051000</v>
      </c>
      <c r="K5" s="73">
        <v>11375844000</v>
      </c>
      <c r="L5" s="73">
        <v>12818358000</v>
      </c>
      <c r="M5" s="73">
        <v>13042004000</v>
      </c>
      <c r="N5" s="73">
        <v>13222888000</v>
      </c>
      <c r="O5" s="73">
        <v>14603078000</v>
      </c>
      <c r="P5" s="73">
        <v>16316473000</v>
      </c>
      <c r="Q5" s="73">
        <v>17664424000</v>
      </c>
      <c r="R5" s="73">
        <v>18505701000</v>
      </c>
      <c r="S5" s="73">
        <v>18505011000</v>
      </c>
      <c r="T5" s="73">
        <v>17019443000</v>
      </c>
      <c r="U5" s="73">
        <v>18295530000</v>
      </c>
      <c r="V5" s="73">
        <v>21162496851</v>
      </c>
      <c r="W5" s="73">
        <v>22205880183</v>
      </c>
      <c r="X5" s="73">
        <v>23932815851</v>
      </c>
      <c r="Y5" s="73">
        <v>25572237006</v>
      </c>
      <c r="Z5" s="73">
        <v>27379802945</v>
      </c>
      <c r="AA5" s="73">
        <v>30533996706</v>
      </c>
      <c r="AB5" s="73">
        <v>31901114751</v>
      </c>
      <c r="AC5" s="73">
        <v>31085527177</v>
      </c>
      <c r="AD5" s="73">
        <v>33189967060</v>
      </c>
      <c r="AE5" s="73">
        <v>39130293618</v>
      </c>
      <c r="AF5" s="73">
        <v>40732762078</v>
      </c>
      <c r="AG5" s="73">
        <v>43263947011</v>
      </c>
      <c r="AH5" s="73">
        <v>47498026629</v>
      </c>
      <c r="AI5" s="73">
        <v>48490087452</v>
      </c>
      <c r="AJ5" s="73">
        <v>39827237609</v>
      </c>
      <c r="AK5" s="73">
        <v>44851304177</v>
      </c>
      <c r="AL5" s="73">
        <v>50050447826</v>
      </c>
      <c r="AM5" s="73">
        <v>49587145480</v>
      </c>
      <c r="AN5" s="73">
        <v>49020287584</v>
      </c>
      <c r="AO5" s="73">
        <v>48543290417</v>
      </c>
      <c r="AP5" s="73">
        <v>49243680358</v>
      </c>
      <c r="AQ5" s="73">
        <v>50413887117</v>
      </c>
      <c r="AR5" s="73">
        <v>54399256851</v>
      </c>
      <c r="AS5" s="73">
        <v>55850258066</v>
      </c>
      <c r="AT5" s="73">
        <v>55225810638</v>
      </c>
      <c r="AU5" s="73">
        <v>50514657633</v>
      </c>
      <c r="AV5">
        <v>59150269815</v>
      </c>
      <c r="AW5">
        <v>69021883199</v>
      </c>
      <c r="AX5">
        <v>63848099957</v>
      </c>
    </row>
    <row r="6" spans="1:50" ht="14.5" x14ac:dyDescent="0.35">
      <c r="A6" s="72" t="s">
        <v>11</v>
      </c>
      <c r="B6" s="72" t="str">
        <f>VLOOKUP(Tabelle_Abfrage_von_MS_Access_Database3[[#This Row],[LAND]],Texte!$A$4:$C$261,Texte!$A$1+1,FALSE)</f>
        <v>Italien</v>
      </c>
      <c r="C6" s="72" t="s">
        <v>508</v>
      </c>
      <c r="D6" s="72" t="s">
        <v>557</v>
      </c>
      <c r="E6" s="73">
        <v>1494729000</v>
      </c>
      <c r="F6" s="73">
        <v>1822601000</v>
      </c>
      <c r="G6" s="73">
        <v>2084407000</v>
      </c>
      <c r="H6" s="73">
        <v>2024707000</v>
      </c>
      <c r="I6" s="73">
        <v>2086843000</v>
      </c>
      <c r="J6" s="73">
        <v>2250659000</v>
      </c>
      <c r="K6" s="73">
        <v>2455624000</v>
      </c>
      <c r="L6" s="73">
        <v>2577453000</v>
      </c>
      <c r="M6" s="73">
        <v>2652621000</v>
      </c>
      <c r="N6" s="73">
        <v>2810553000</v>
      </c>
      <c r="O6" s="73">
        <v>2927951000</v>
      </c>
      <c r="P6" s="73">
        <v>3355432000</v>
      </c>
      <c r="Q6" s="73">
        <v>3658892000</v>
      </c>
      <c r="R6" s="73">
        <v>3803555000</v>
      </c>
      <c r="S6" s="73">
        <v>3723183000</v>
      </c>
      <c r="T6" s="73">
        <v>3702571000</v>
      </c>
      <c r="U6" s="73">
        <v>4035117000</v>
      </c>
      <c r="V6" s="73">
        <v>4252352252</v>
      </c>
      <c r="W6" s="73">
        <v>4559667111</v>
      </c>
      <c r="X6" s="73">
        <v>4854800023</v>
      </c>
      <c r="Y6" s="73">
        <v>4906278255</v>
      </c>
      <c r="Z6" s="73">
        <v>4958645834</v>
      </c>
      <c r="AA6" s="73">
        <v>5353969734</v>
      </c>
      <c r="AB6" s="73">
        <v>5642609041</v>
      </c>
      <c r="AC6" s="73">
        <v>5547624199</v>
      </c>
      <c r="AD6" s="73">
        <v>5686950080</v>
      </c>
      <c r="AE6" s="73">
        <v>6233568122</v>
      </c>
      <c r="AF6" s="73">
        <v>6389489483</v>
      </c>
      <c r="AG6" s="73">
        <v>7182630345</v>
      </c>
      <c r="AH6" s="73">
        <v>7887893549</v>
      </c>
      <c r="AI6" s="73">
        <v>8274150840</v>
      </c>
      <c r="AJ6" s="73">
        <v>6627355084</v>
      </c>
      <c r="AK6" s="73">
        <v>7690185850</v>
      </c>
      <c r="AL6" s="73">
        <v>8526792380</v>
      </c>
      <c r="AM6" s="73">
        <v>8209415385</v>
      </c>
      <c r="AN6" s="73">
        <v>8006515391</v>
      </c>
      <c r="AO6" s="73">
        <v>8033346695</v>
      </c>
      <c r="AP6" s="73">
        <v>8199696923</v>
      </c>
      <c r="AQ6" s="73">
        <v>8394078533</v>
      </c>
      <c r="AR6" s="73">
        <v>9087565029</v>
      </c>
      <c r="AS6" s="73">
        <v>9955026632</v>
      </c>
      <c r="AT6" s="73">
        <v>10368060702</v>
      </c>
      <c r="AU6" s="73">
        <v>9119143202</v>
      </c>
      <c r="AV6">
        <v>11571082379</v>
      </c>
      <c r="AW6">
        <v>13436744431</v>
      </c>
      <c r="AX6">
        <v>12904760889</v>
      </c>
    </row>
    <row r="7" spans="1:50" ht="14.5" x14ac:dyDescent="0.35">
      <c r="A7" s="72" t="s">
        <v>13</v>
      </c>
      <c r="B7" s="72" t="str">
        <f>VLOOKUP(Tabelle_Abfrage_von_MS_Access_Database3[[#This Row],[LAND]],Texte!$A$4:$C$261,Texte!$A$1+1,FALSE)</f>
        <v>Vereinigtes Königreich</v>
      </c>
      <c r="C7" s="72" t="s">
        <v>508</v>
      </c>
      <c r="D7" s="72" t="s">
        <v>557</v>
      </c>
      <c r="E7" s="73">
        <v>520743000</v>
      </c>
      <c r="F7" s="73">
        <v>571148000</v>
      </c>
      <c r="G7" s="73">
        <v>630977000</v>
      </c>
      <c r="H7" s="73">
        <v>569597000</v>
      </c>
      <c r="I7" s="73">
        <v>529646000</v>
      </c>
      <c r="J7" s="73">
        <v>543384000</v>
      </c>
      <c r="K7" s="73">
        <v>609836000</v>
      </c>
      <c r="L7" s="73">
        <v>713409000</v>
      </c>
      <c r="M7" s="73">
        <v>679894000</v>
      </c>
      <c r="N7" s="73">
        <v>718495000</v>
      </c>
      <c r="O7" s="73">
        <v>812726000</v>
      </c>
      <c r="P7" s="73">
        <v>937982000</v>
      </c>
      <c r="Q7" s="73">
        <v>1037646000</v>
      </c>
      <c r="R7" s="73">
        <v>1161453000</v>
      </c>
      <c r="S7" s="73">
        <v>1174376000</v>
      </c>
      <c r="T7" s="73">
        <v>1121808000</v>
      </c>
      <c r="U7" s="73">
        <v>1324562000</v>
      </c>
      <c r="V7" s="73">
        <v>1439238582</v>
      </c>
      <c r="W7" s="73">
        <v>1560831178</v>
      </c>
      <c r="X7" s="73">
        <v>1747822677</v>
      </c>
      <c r="Y7" s="73">
        <v>1864614668</v>
      </c>
      <c r="Z7" s="73">
        <v>2025506183</v>
      </c>
      <c r="AA7" s="73">
        <v>2091936113</v>
      </c>
      <c r="AB7" s="73">
        <v>2081337323</v>
      </c>
      <c r="AC7" s="73">
        <v>2016622439</v>
      </c>
      <c r="AD7" s="73">
        <v>1851450741</v>
      </c>
      <c r="AE7" s="73">
        <v>1754308670</v>
      </c>
      <c r="AF7" s="73">
        <v>1852278627</v>
      </c>
      <c r="AG7" s="73">
        <v>2048774646</v>
      </c>
      <c r="AH7" s="73">
        <v>2330537291</v>
      </c>
      <c r="AI7" s="73">
        <v>2103548487</v>
      </c>
      <c r="AJ7" s="73">
        <v>1606109896</v>
      </c>
      <c r="AK7" s="73">
        <v>1728058787</v>
      </c>
      <c r="AL7" s="73">
        <v>2017945598</v>
      </c>
      <c r="AM7" s="73">
        <v>2182662444</v>
      </c>
      <c r="AN7" s="73">
        <v>2043698210</v>
      </c>
      <c r="AO7" s="73">
        <v>2305869656</v>
      </c>
      <c r="AP7" s="73">
        <v>2445583138</v>
      </c>
      <c r="AQ7" s="73">
        <v>2697341687</v>
      </c>
      <c r="AR7" s="73">
        <v>2468100773</v>
      </c>
      <c r="AS7" s="73">
        <v>2869226657</v>
      </c>
      <c r="AT7" s="73">
        <v>2830720282</v>
      </c>
      <c r="AU7" s="73">
        <v>2144292260</v>
      </c>
      <c r="AV7">
        <v>2779328362</v>
      </c>
      <c r="AW7">
        <v>3494797158</v>
      </c>
      <c r="AX7">
        <v>3060746297</v>
      </c>
    </row>
    <row r="8" spans="1:50" ht="14.5" x14ac:dyDescent="0.35">
      <c r="A8" s="72" t="s">
        <v>15</v>
      </c>
      <c r="B8" s="72" t="str">
        <f>VLOOKUP(Tabelle_Abfrage_von_MS_Access_Database3[[#This Row],[LAND]],Texte!$A$4:$C$261,Texte!$A$1+1,FALSE)</f>
        <v>Irland</v>
      </c>
      <c r="C8" s="72" t="s">
        <v>508</v>
      </c>
      <c r="D8" s="72" t="s">
        <v>557</v>
      </c>
      <c r="E8" s="73">
        <v>23981000</v>
      </c>
      <c r="F8" s="73">
        <v>32000000</v>
      </c>
      <c r="G8" s="73">
        <v>42466000</v>
      </c>
      <c r="H8" s="73">
        <v>48837000</v>
      </c>
      <c r="I8" s="73">
        <v>51067000</v>
      </c>
      <c r="J8" s="73">
        <v>59782000</v>
      </c>
      <c r="K8" s="73">
        <v>65534000</v>
      </c>
      <c r="L8" s="73">
        <v>67693000</v>
      </c>
      <c r="M8" s="73">
        <v>77654000</v>
      </c>
      <c r="N8" s="73">
        <v>86720000</v>
      </c>
      <c r="O8" s="73">
        <v>97766000</v>
      </c>
      <c r="P8" s="73">
        <v>140464000</v>
      </c>
      <c r="Q8" s="73">
        <v>147413000</v>
      </c>
      <c r="R8" s="73">
        <v>175789000</v>
      </c>
      <c r="S8" s="73">
        <v>206816000</v>
      </c>
      <c r="T8" s="73">
        <v>209047000</v>
      </c>
      <c r="U8" s="73">
        <v>223885000</v>
      </c>
      <c r="V8" s="73">
        <v>267374971</v>
      </c>
      <c r="W8" s="73">
        <v>275199309</v>
      </c>
      <c r="X8" s="73">
        <v>256769239</v>
      </c>
      <c r="Y8" s="73">
        <v>384657146</v>
      </c>
      <c r="Z8" s="73">
        <v>397186174</v>
      </c>
      <c r="AA8" s="73">
        <v>650240325</v>
      </c>
      <c r="AB8" s="73">
        <v>835760670</v>
      </c>
      <c r="AC8" s="73">
        <v>966471271</v>
      </c>
      <c r="AD8" s="73">
        <v>736364667</v>
      </c>
      <c r="AE8" s="73">
        <v>1077566541</v>
      </c>
      <c r="AF8" s="73">
        <v>505421930</v>
      </c>
      <c r="AG8" s="73">
        <v>541680731</v>
      </c>
      <c r="AH8" s="73">
        <v>533244039</v>
      </c>
      <c r="AI8" s="73">
        <v>568575867</v>
      </c>
      <c r="AJ8" s="73">
        <v>527647107</v>
      </c>
      <c r="AK8" s="73">
        <v>607326738</v>
      </c>
      <c r="AL8" s="73">
        <v>561626984</v>
      </c>
      <c r="AM8" s="73">
        <v>492836763</v>
      </c>
      <c r="AN8" s="73">
        <v>1128018326</v>
      </c>
      <c r="AO8" s="73">
        <v>462153880</v>
      </c>
      <c r="AP8" s="73">
        <v>501846787</v>
      </c>
      <c r="AQ8" s="73">
        <v>518281715</v>
      </c>
      <c r="AR8" s="73">
        <v>576731763</v>
      </c>
      <c r="AS8" s="73">
        <v>564489372</v>
      </c>
      <c r="AT8" s="73">
        <v>595935772</v>
      </c>
      <c r="AU8" s="73">
        <v>662186344</v>
      </c>
      <c r="AV8">
        <v>621647125</v>
      </c>
      <c r="AW8">
        <v>742790312</v>
      </c>
      <c r="AX8">
        <v>725499288</v>
      </c>
    </row>
    <row r="9" spans="1:50" ht="14.5" x14ac:dyDescent="0.35">
      <c r="A9" s="72" t="s">
        <v>17</v>
      </c>
      <c r="B9" s="72" t="str">
        <f>VLOOKUP(Tabelle_Abfrage_von_MS_Access_Database3[[#This Row],[LAND]],Texte!$A$4:$C$261,Texte!$A$1+1,FALSE)</f>
        <v>Dänemark</v>
      </c>
      <c r="C9" s="72" t="s">
        <v>508</v>
      </c>
      <c r="D9" s="72" t="s">
        <v>557</v>
      </c>
      <c r="E9" s="73">
        <v>131041000</v>
      </c>
      <c r="F9" s="73">
        <v>139806000</v>
      </c>
      <c r="G9" s="73">
        <v>157088000</v>
      </c>
      <c r="H9" s="73">
        <v>148535000</v>
      </c>
      <c r="I9" s="73">
        <v>153346000</v>
      </c>
      <c r="J9" s="73">
        <v>168853000</v>
      </c>
      <c r="K9" s="73">
        <v>199320000</v>
      </c>
      <c r="L9" s="73">
        <v>199345000</v>
      </c>
      <c r="M9" s="73">
        <v>203113000</v>
      </c>
      <c r="N9" s="73">
        <v>217293000</v>
      </c>
      <c r="O9" s="73">
        <v>222712000</v>
      </c>
      <c r="P9" s="73">
        <v>261992000</v>
      </c>
      <c r="Q9" s="73">
        <v>290420000</v>
      </c>
      <c r="R9" s="73">
        <v>323167000</v>
      </c>
      <c r="S9" s="73">
        <v>342167000</v>
      </c>
      <c r="T9" s="73">
        <v>330140000</v>
      </c>
      <c r="U9" s="73">
        <v>371403000</v>
      </c>
      <c r="V9" s="73">
        <v>372492743</v>
      </c>
      <c r="W9" s="73">
        <v>388917957</v>
      </c>
      <c r="X9" s="73">
        <v>395644129</v>
      </c>
      <c r="Y9" s="73">
        <v>413485724</v>
      </c>
      <c r="Z9" s="73">
        <v>429998553</v>
      </c>
      <c r="AA9" s="73">
        <v>425499989</v>
      </c>
      <c r="AB9" s="73">
        <v>443684899</v>
      </c>
      <c r="AC9" s="73">
        <v>452117141</v>
      </c>
      <c r="AD9" s="73">
        <v>474015129</v>
      </c>
      <c r="AE9" s="73">
        <v>510308607</v>
      </c>
      <c r="AF9" s="73">
        <v>548802173</v>
      </c>
      <c r="AG9" s="73">
        <v>504820648</v>
      </c>
      <c r="AH9" s="73">
        <v>508574892</v>
      </c>
      <c r="AI9" s="73">
        <v>509757150</v>
      </c>
      <c r="AJ9" s="73">
        <v>459890438</v>
      </c>
      <c r="AK9" s="73">
        <v>453933779</v>
      </c>
      <c r="AL9" s="73">
        <v>536579020</v>
      </c>
      <c r="AM9" s="73">
        <v>509596390</v>
      </c>
      <c r="AN9" s="73">
        <v>526286628</v>
      </c>
      <c r="AO9" s="73">
        <v>534228752</v>
      </c>
      <c r="AP9" s="73">
        <v>541326524</v>
      </c>
      <c r="AQ9" s="73">
        <v>550736003</v>
      </c>
      <c r="AR9" s="73">
        <v>649633603</v>
      </c>
      <c r="AS9" s="73">
        <v>690214226</v>
      </c>
      <c r="AT9" s="73">
        <v>706728082</v>
      </c>
      <c r="AU9" s="73">
        <v>620972109</v>
      </c>
      <c r="AV9">
        <v>794266758</v>
      </c>
      <c r="AW9">
        <v>1199674403</v>
      </c>
      <c r="AX9">
        <v>857981965</v>
      </c>
    </row>
    <row r="10" spans="1:50" ht="14.5" x14ac:dyDescent="0.35">
      <c r="A10" s="72" t="s">
        <v>19</v>
      </c>
      <c r="B10" s="72" t="str">
        <f>VLOOKUP(Tabelle_Abfrage_von_MS_Access_Database3[[#This Row],[LAND]],Texte!$A$4:$C$261,Texte!$A$1+1,FALSE)</f>
        <v>Griechenland</v>
      </c>
      <c r="C10" s="72" t="s">
        <v>508</v>
      </c>
      <c r="D10" s="72" t="s">
        <v>557</v>
      </c>
      <c r="E10" s="73">
        <v>39026000</v>
      </c>
      <c r="F10" s="73">
        <v>42038000</v>
      </c>
      <c r="G10" s="73">
        <v>48230000</v>
      </c>
      <c r="H10" s="73">
        <v>62720000</v>
      </c>
      <c r="I10" s="73">
        <v>79790000</v>
      </c>
      <c r="J10" s="73">
        <v>82235000</v>
      </c>
      <c r="K10" s="73">
        <v>103446000</v>
      </c>
      <c r="L10" s="73">
        <v>115003000</v>
      </c>
      <c r="M10" s="73">
        <v>111738000</v>
      </c>
      <c r="N10" s="73">
        <v>124477000</v>
      </c>
      <c r="O10" s="73">
        <v>136233000</v>
      </c>
      <c r="P10" s="73">
        <v>159848000</v>
      </c>
      <c r="Q10" s="73">
        <v>169596000</v>
      </c>
      <c r="R10" s="73">
        <v>172185000</v>
      </c>
      <c r="S10" s="73">
        <v>170843000</v>
      </c>
      <c r="T10" s="73">
        <v>159885000</v>
      </c>
      <c r="U10" s="73">
        <v>161244000</v>
      </c>
      <c r="V10" s="73">
        <v>151019224</v>
      </c>
      <c r="W10" s="73">
        <v>137254142</v>
      </c>
      <c r="X10" s="73">
        <v>126334248</v>
      </c>
      <c r="Y10" s="73">
        <v>128060285</v>
      </c>
      <c r="Z10" s="73">
        <v>119649714</v>
      </c>
      <c r="AA10" s="73">
        <v>129738590</v>
      </c>
      <c r="AB10" s="73">
        <v>133366042</v>
      </c>
      <c r="AC10" s="73">
        <v>129089321</v>
      </c>
      <c r="AD10" s="73">
        <v>137440897</v>
      </c>
      <c r="AE10" s="73">
        <v>142853772</v>
      </c>
      <c r="AF10" s="73">
        <v>146471765</v>
      </c>
      <c r="AG10" s="73">
        <v>130494856</v>
      </c>
      <c r="AH10" s="73">
        <v>168401716</v>
      </c>
      <c r="AI10" s="73">
        <v>143148828</v>
      </c>
      <c r="AJ10" s="73">
        <v>133793700</v>
      </c>
      <c r="AK10" s="73">
        <v>137488283</v>
      </c>
      <c r="AL10" s="73">
        <v>182447761</v>
      </c>
      <c r="AM10" s="73">
        <v>163415590</v>
      </c>
      <c r="AN10" s="73">
        <v>175405171</v>
      </c>
      <c r="AO10" s="73">
        <v>191220503</v>
      </c>
      <c r="AP10" s="73">
        <v>203668146</v>
      </c>
      <c r="AQ10" s="73">
        <v>201042168</v>
      </c>
      <c r="AR10" s="73">
        <v>243230371</v>
      </c>
      <c r="AS10" s="73">
        <v>264800031</v>
      </c>
      <c r="AT10" s="73">
        <v>273468167</v>
      </c>
      <c r="AU10" s="73">
        <v>337472621</v>
      </c>
      <c r="AV10">
        <v>402038309</v>
      </c>
      <c r="AW10">
        <v>448606743</v>
      </c>
      <c r="AX10">
        <v>475935044</v>
      </c>
    </row>
    <row r="11" spans="1:50" ht="14.5" x14ac:dyDescent="0.35">
      <c r="A11" s="72" t="s">
        <v>21</v>
      </c>
      <c r="B11" s="72" t="str">
        <f>VLOOKUP(Tabelle_Abfrage_von_MS_Access_Database3[[#This Row],[LAND]],Texte!$A$4:$C$261,Texte!$A$1+1,FALSE)</f>
        <v>Portugal</v>
      </c>
      <c r="C11" s="72" t="s">
        <v>508</v>
      </c>
      <c r="D11" s="72" t="s">
        <v>557</v>
      </c>
      <c r="E11" s="73">
        <v>35467000</v>
      </c>
      <c r="F11" s="73">
        <v>45131000</v>
      </c>
      <c r="G11" s="73">
        <v>60855000</v>
      </c>
      <c r="H11" s="73">
        <v>64325000</v>
      </c>
      <c r="I11" s="73">
        <v>70074000</v>
      </c>
      <c r="J11" s="73">
        <v>83046000</v>
      </c>
      <c r="K11" s="73">
        <v>103949000</v>
      </c>
      <c r="L11" s="73">
        <v>128162000</v>
      </c>
      <c r="M11" s="73">
        <v>134245000</v>
      </c>
      <c r="N11" s="73">
        <v>153151000</v>
      </c>
      <c r="O11" s="73">
        <v>167675000</v>
      </c>
      <c r="P11" s="73">
        <v>210882000</v>
      </c>
      <c r="Q11" s="73">
        <v>249188000</v>
      </c>
      <c r="R11" s="73">
        <v>257370000</v>
      </c>
      <c r="S11" s="73">
        <v>258285000</v>
      </c>
      <c r="T11" s="73">
        <v>241250000</v>
      </c>
      <c r="U11" s="73">
        <v>256632000</v>
      </c>
      <c r="V11" s="73">
        <v>276346729</v>
      </c>
      <c r="W11" s="73">
        <v>333137050</v>
      </c>
      <c r="X11" s="73">
        <v>337661250</v>
      </c>
      <c r="Y11" s="73">
        <v>337588352</v>
      </c>
      <c r="Z11" s="73">
        <v>336292795</v>
      </c>
      <c r="AA11" s="73">
        <v>319934957</v>
      </c>
      <c r="AB11" s="73">
        <v>376151631</v>
      </c>
      <c r="AC11" s="73">
        <v>402906924</v>
      </c>
      <c r="AD11" s="73">
        <v>437014611</v>
      </c>
      <c r="AE11" s="73">
        <v>461429476</v>
      </c>
      <c r="AF11" s="73">
        <v>389350063</v>
      </c>
      <c r="AG11" s="73">
        <v>402801562</v>
      </c>
      <c r="AH11" s="73">
        <v>388084996</v>
      </c>
      <c r="AI11" s="73">
        <v>420394341</v>
      </c>
      <c r="AJ11" s="73">
        <v>332660125</v>
      </c>
      <c r="AK11" s="73">
        <v>399566831</v>
      </c>
      <c r="AL11" s="73">
        <v>499110045</v>
      </c>
      <c r="AM11" s="73">
        <v>475261214</v>
      </c>
      <c r="AN11" s="73">
        <v>460463811</v>
      </c>
      <c r="AO11" s="73">
        <v>496366770</v>
      </c>
      <c r="AP11" s="73">
        <v>499858362</v>
      </c>
      <c r="AQ11" s="73">
        <v>524927860</v>
      </c>
      <c r="AR11" s="73">
        <v>555428264</v>
      </c>
      <c r="AS11" s="73">
        <v>715134386</v>
      </c>
      <c r="AT11" s="73">
        <v>792132004</v>
      </c>
      <c r="AU11" s="73">
        <v>586247906</v>
      </c>
      <c r="AV11">
        <v>563055687</v>
      </c>
      <c r="AW11">
        <v>620116551</v>
      </c>
      <c r="AX11">
        <v>566644006</v>
      </c>
    </row>
    <row r="12" spans="1:50" ht="14.5" x14ac:dyDescent="0.35">
      <c r="A12" s="72" t="s">
        <v>23</v>
      </c>
      <c r="B12" s="72" t="str">
        <f>VLOOKUP(Tabelle_Abfrage_von_MS_Access_Database3[[#This Row],[LAND]],Texte!$A$4:$C$261,Texte!$A$1+1,FALSE)</f>
        <v>Spanien</v>
      </c>
      <c r="C12" s="72" t="s">
        <v>508</v>
      </c>
      <c r="D12" s="72" t="s">
        <v>557</v>
      </c>
      <c r="E12" s="73">
        <v>72642000</v>
      </c>
      <c r="F12" s="73">
        <v>85921000</v>
      </c>
      <c r="G12" s="73">
        <v>93243000</v>
      </c>
      <c r="H12" s="73">
        <v>104437000</v>
      </c>
      <c r="I12" s="73">
        <v>103404000</v>
      </c>
      <c r="J12" s="73">
        <v>133316000</v>
      </c>
      <c r="K12" s="73">
        <v>182173000</v>
      </c>
      <c r="L12" s="73">
        <v>206014000</v>
      </c>
      <c r="M12" s="73">
        <v>235174000</v>
      </c>
      <c r="N12" s="73">
        <v>255343000</v>
      </c>
      <c r="O12" s="73">
        <v>292543000</v>
      </c>
      <c r="P12" s="73">
        <v>319618000</v>
      </c>
      <c r="Q12" s="73">
        <v>384503000</v>
      </c>
      <c r="R12" s="73">
        <v>465196000</v>
      </c>
      <c r="S12" s="73">
        <v>542048000</v>
      </c>
      <c r="T12" s="73">
        <v>558706000</v>
      </c>
      <c r="U12" s="73">
        <v>616297000</v>
      </c>
      <c r="V12" s="73">
        <v>633835730</v>
      </c>
      <c r="W12" s="73">
        <v>741075827</v>
      </c>
      <c r="X12" s="73">
        <v>860592564</v>
      </c>
      <c r="Y12" s="73">
        <v>937371778</v>
      </c>
      <c r="Z12" s="73">
        <v>960762688</v>
      </c>
      <c r="AA12" s="73">
        <v>1047735218</v>
      </c>
      <c r="AB12" s="73">
        <v>1087960933</v>
      </c>
      <c r="AC12" s="73">
        <v>1193574790</v>
      </c>
      <c r="AD12" s="73">
        <v>1405315960</v>
      </c>
      <c r="AE12" s="73">
        <v>1390291044</v>
      </c>
      <c r="AF12" s="73">
        <v>1387755272</v>
      </c>
      <c r="AG12" s="73">
        <v>1548728781</v>
      </c>
      <c r="AH12" s="73">
        <v>1703958343</v>
      </c>
      <c r="AI12" s="73">
        <v>1699994610</v>
      </c>
      <c r="AJ12" s="73">
        <v>1555544905</v>
      </c>
      <c r="AK12" s="73">
        <v>1772138478</v>
      </c>
      <c r="AL12" s="73">
        <v>2018744356</v>
      </c>
      <c r="AM12" s="73">
        <v>2032134429</v>
      </c>
      <c r="AN12" s="73">
        <v>2140324019</v>
      </c>
      <c r="AO12" s="73">
        <v>2172630153</v>
      </c>
      <c r="AP12" s="73">
        <v>2286367323</v>
      </c>
      <c r="AQ12" s="73">
        <v>2556057423</v>
      </c>
      <c r="AR12" s="73">
        <v>2382089545</v>
      </c>
      <c r="AS12" s="73">
        <v>2527024382</v>
      </c>
      <c r="AT12" s="73">
        <v>2695362442</v>
      </c>
      <c r="AU12" s="73">
        <v>2431643046</v>
      </c>
      <c r="AV12">
        <v>2573143952</v>
      </c>
      <c r="AW12">
        <v>2954730499</v>
      </c>
      <c r="AX12">
        <v>3034752710</v>
      </c>
    </row>
    <row r="13" spans="1:50" ht="14.5" x14ac:dyDescent="0.35">
      <c r="A13" s="72" t="s">
        <v>25</v>
      </c>
      <c r="B13" s="72" t="str">
        <f>VLOOKUP(Tabelle_Abfrage_von_MS_Access_Database3[[#This Row],[LAND]],Texte!$A$4:$C$261,Texte!$A$1+1,FALSE)</f>
        <v>Belgien</v>
      </c>
      <c r="C13" s="72" t="s">
        <v>529</v>
      </c>
      <c r="D13" s="72" t="s">
        <v>557</v>
      </c>
      <c r="E13" s="73">
        <v>0</v>
      </c>
      <c r="F13" s="73">
        <v>0</v>
      </c>
      <c r="G13" s="73">
        <v>0</v>
      </c>
      <c r="H13" s="73">
        <v>0</v>
      </c>
      <c r="I13" s="73">
        <v>0</v>
      </c>
      <c r="J13" s="73">
        <v>0</v>
      </c>
      <c r="K13" s="73">
        <v>0</v>
      </c>
      <c r="L13" s="73">
        <v>0</v>
      </c>
      <c r="M13" s="73">
        <v>0</v>
      </c>
      <c r="N13" s="73">
        <v>0</v>
      </c>
      <c r="O13" s="73">
        <v>0</v>
      </c>
      <c r="P13" s="73">
        <v>0</v>
      </c>
      <c r="Q13" s="73">
        <v>0</v>
      </c>
      <c r="R13" s="73">
        <v>0</v>
      </c>
      <c r="S13" s="73">
        <v>0</v>
      </c>
      <c r="T13" s="73">
        <v>0</v>
      </c>
      <c r="U13" s="73">
        <v>0</v>
      </c>
      <c r="V13" s="74"/>
      <c r="W13" s="74"/>
      <c r="X13" s="74"/>
      <c r="Y13" s="74"/>
      <c r="Z13" s="73">
        <v>1308676593</v>
      </c>
      <c r="AA13" s="73">
        <v>1372225578</v>
      </c>
      <c r="AB13" s="73">
        <v>1509106489</v>
      </c>
      <c r="AC13" s="73">
        <v>1507422371</v>
      </c>
      <c r="AD13" s="73">
        <v>1412781363</v>
      </c>
      <c r="AE13" s="73">
        <v>1542576989</v>
      </c>
      <c r="AF13" s="73">
        <v>1537058451</v>
      </c>
      <c r="AG13" s="73">
        <v>1784278651</v>
      </c>
      <c r="AH13" s="73">
        <v>1913948346</v>
      </c>
      <c r="AI13" s="73">
        <v>1961458792</v>
      </c>
      <c r="AJ13" s="73">
        <v>1552432319</v>
      </c>
      <c r="AK13" s="73">
        <v>1831636815</v>
      </c>
      <c r="AL13" s="73">
        <v>2058832115</v>
      </c>
      <c r="AM13" s="73">
        <v>1979643827</v>
      </c>
      <c r="AN13" s="73">
        <v>1931750429</v>
      </c>
      <c r="AO13" s="73">
        <v>2059963315</v>
      </c>
      <c r="AP13" s="73">
        <v>1925132728</v>
      </c>
      <c r="AQ13" s="73">
        <v>1968990131</v>
      </c>
      <c r="AR13" s="73">
        <v>1990670365</v>
      </c>
      <c r="AS13" s="73">
        <v>2042884512</v>
      </c>
      <c r="AT13" s="73">
        <v>2107245821</v>
      </c>
      <c r="AU13" s="73">
        <v>2042681019</v>
      </c>
      <c r="AV13">
        <v>2822117533</v>
      </c>
      <c r="AW13">
        <v>3210592795</v>
      </c>
      <c r="AX13">
        <v>2910340042</v>
      </c>
    </row>
    <row r="14" spans="1:50" ht="14.5" x14ac:dyDescent="0.35">
      <c r="A14" s="72" t="s">
        <v>27</v>
      </c>
      <c r="B14" s="72" t="str">
        <f>VLOOKUP(Tabelle_Abfrage_von_MS_Access_Database3[[#This Row],[LAND]],Texte!$A$4:$C$261,Texte!$A$1+1,FALSE)</f>
        <v>Luxemburg</v>
      </c>
      <c r="C14" s="72" t="s">
        <v>529</v>
      </c>
      <c r="D14" s="72" t="s">
        <v>557</v>
      </c>
      <c r="E14" s="73">
        <v>0</v>
      </c>
      <c r="F14" s="73">
        <v>0</v>
      </c>
      <c r="G14" s="73">
        <v>0</v>
      </c>
      <c r="H14" s="73">
        <v>0</v>
      </c>
      <c r="I14" s="73">
        <v>0</v>
      </c>
      <c r="J14" s="73">
        <v>0</v>
      </c>
      <c r="K14" s="73">
        <v>0</v>
      </c>
      <c r="L14" s="73">
        <v>0</v>
      </c>
      <c r="M14" s="73">
        <v>0</v>
      </c>
      <c r="N14" s="73">
        <v>0</v>
      </c>
      <c r="O14" s="73">
        <v>0</v>
      </c>
      <c r="P14" s="73">
        <v>0</v>
      </c>
      <c r="Q14" s="73">
        <v>0</v>
      </c>
      <c r="R14" s="73">
        <v>0</v>
      </c>
      <c r="S14" s="73">
        <v>0</v>
      </c>
      <c r="T14" s="73">
        <v>0</v>
      </c>
      <c r="U14" s="73">
        <v>0</v>
      </c>
      <c r="V14" s="74"/>
      <c r="W14" s="74"/>
      <c r="X14" s="74"/>
      <c r="Y14" s="74"/>
      <c r="Z14" s="73">
        <v>97213140</v>
      </c>
      <c r="AA14" s="73">
        <v>103172973</v>
      </c>
      <c r="AB14" s="73">
        <v>111044062</v>
      </c>
      <c r="AC14" s="73">
        <v>107904654</v>
      </c>
      <c r="AD14" s="73">
        <v>112121448</v>
      </c>
      <c r="AE14" s="73">
        <v>221398858</v>
      </c>
      <c r="AF14" s="73">
        <v>201904444</v>
      </c>
      <c r="AG14" s="73">
        <v>208662431</v>
      </c>
      <c r="AH14" s="73">
        <v>206383651</v>
      </c>
      <c r="AI14" s="73">
        <v>176969951</v>
      </c>
      <c r="AJ14" s="73">
        <v>142027699</v>
      </c>
      <c r="AK14" s="73">
        <v>185772288</v>
      </c>
      <c r="AL14" s="73">
        <v>220191033</v>
      </c>
      <c r="AM14" s="73">
        <v>260896694</v>
      </c>
      <c r="AN14" s="73">
        <v>232092836</v>
      </c>
      <c r="AO14" s="73">
        <v>251170233</v>
      </c>
      <c r="AP14" s="73">
        <v>259708088</v>
      </c>
      <c r="AQ14" s="73">
        <v>260292659</v>
      </c>
      <c r="AR14" s="73">
        <v>312760713</v>
      </c>
      <c r="AS14" s="73">
        <v>350416418</v>
      </c>
      <c r="AT14" s="73">
        <v>333784939</v>
      </c>
      <c r="AU14" s="73">
        <v>282387921</v>
      </c>
      <c r="AV14">
        <v>346517917</v>
      </c>
      <c r="AW14">
        <v>424526670</v>
      </c>
      <c r="AX14">
        <v>379319720</v>
      </c>
    </row>
    <row r="15" spans="1:50" ht="14.5" x14ac:dyDescent="0.35">
      <c r="A15" s="72" t="s">
        <v>29</v>
      </c>
      <c r="B15" s="72" t="str">
        <f>VLOOKUP(Tabelle_Abfrage_von_MS_Access_Database3[[#This Row],[LAND]],Texte!$A$4:$C$261,Texte!$A$1+1,FALSE)</f>
        <v>Ceuta</v>
      </c>
      <c r="C15" s="72" t="s">
        <v>529</v>
      </c>
      <c r="D15" s="72" t="s">
        <v>557</v>
      </c>
      <c r="E15" s="73">
        <v>0</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4"/>
      <c r="W15" s="74"/>
      <c r="X15" s="74"/>
      <c r="Y15" s="74"/>
      <c r="Z15" s="73">
        <v>0</v>
      </c>
      <c r="AA15" s="73">
        <v>1671</v>
      </c>
      <c r="AB15" s="73">
        <v>21175</v>
      </c>
      <c r="AC15" s="73">
        <v>931</v>
      </c>
      <c r="AD15" s="73">
        <v>3945</v>
      </c>
      <c r="AE15" s="73">
        <v>0</v>
      </c>
      <c r="AF15" s="73">
        <v>719</v>
      </c>
      <c r="AG15" s="73">
        <v>0</v>
      </c>
      <c r="AH15" s="73">
        <v>1362</v>
      </c>
      <c r="AI15" s="73">
        <v>0</v>
      </c>
      <c r="AJ15" s="73">
        <v>0</v>
      </c>
      <c r="AK15" s="73">
        <v>184685</v>
      </c>
      <c r="AL15" s="73">
        <v>35</v>
      </c>
      <c r="AM15" s="73">
        <v>287</v>
      </c>
      <c r="AN15" s="73">
        <v>0</v>
      </c>
      <c r="AO15" s="73">
        <v>960</v>
      </c>
      <c r="AP15" s="73">
        <v>0</v>
      </c>
      <c r="AQ15" s="73">
        <v>0</v>
      </c>
      <c r="AR15" s="73">
        <v>0</v>
      </c>
      <c r="AS15" s="73">
        <v>13803</v>
      </c>
      <c r="AT15" s="73">
        <v>0</v>
      </c>
      <c r="AU15" s="73">
        <v>0</v>
      </c>
      <c r="AV15">
        <v>0</v>
      </c>
      <c r="AW15">
        <v>33890</v>
      </c>
      <c r="AX15">
        <v>49517</v>
      </c>
    </row>
    <row r="16" spans="1:50" ht="14.5" x14ac:dyDescent="0.35">
      <c r="A16" s="72" t="s">
        <v>31</v>
      </c>
      <c r="B16" s="72" t="str">
        <f>VLOOKUP(Tabelle_Abfrage_von_MS_Access_Database3[[#This Row],[LAND]],Texte!$A$4:$C$261,Texte!$A$1+1,FALSE)</f>
        <v>Ceuta u. Melilla</v>
      </c>
      <c r="C16" s="72" t="s">
        <v>525</v>
      </c>
      <c r="D16" s="72" t="s">
        <v>528</v>
      </c>
      <c r="E16" s="73">
        <v>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6395</v>
      </c>
      <c r="W16" s="73">
        <v>0</v>
      </c>
      <c r="X16" s="73">
        <v>13881</v>
      </c>
      <c r="Y16" s="73">
        <v>0</v>
      </c>
      <c r="Z16" s="74"/>
      <c r="AA16" s="74"/>
      <c r="AB16" s="74"/>
      <c r="AC16" s="74"/>
      <c r="AD16" s="74"/>
      <c r="AE16" s="74"/>
      <c r="AF16" s="74"/>
      <c r="AG16" s="74"/>
      <c r="AH16" s="74"/>
      <c r="AI16" s="74"/>
      <c r="AJ16" s="74"/>
      <c r="AK16" s="74"/>
      <c r="AL16" s="74"/>
      <c r="AM16" s="74"/>
      <c r="AN16" s="74"/>
      <c r="AO16" s="74"/>
      <c r="AP16" s="74"/>
      <c r="AQ16" s="74"/>
      <c r="AR16" s="74"/>
      <c r="AS16" s="74"/>
      <c r="AT16" s="74"/>
      <c r="AU16" s="74"/>
    </row>
    <row r="17" spans="1:50" ht="14.5" x14ac:dyDescent="0.35">
      <c r="A17" s="72" t="s">
        <v>33</v>
      </c>
      <c r="B17" s="72" t="str">
        <f>VLOOKUP(Tabelle_Abfrage_von_MS_Access_Database3[[#This Row],[LAND]],Texte!$A$4:$C$261,Texte!$A$1+1,FALSE)</f>
        <v>Melilla</v>
      </c>
      <c r="C17" s="72" t="s">
        <v>529</v>
      </c>
      <c r="D17" s="72" t="s">
        <v>557</v>
      </c>
      <c r="E17" s="73">
        <v>0</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4"/>
      <c r="W17" s="74"/>
      <c r="X17" s="74"/>
      <c r="Y17" s="74"/>
      <c r="Z17" s="73">
        <v>1889</v>
      </c>
      <c r="AA17" s="73">
        <v>1090</v>
      </c>
      <c r="AB17" s="73">
        <v>12</v>
      </c>
      <c r="AC17" s="73">
        <v>1216</v>
      </c>
      <c r="AD17" s="73">
        <v>4212</v>
      </c>
      <c r="AE17" s="73">
        <v>202361</v>
      </c>
      <c r="AF17" s="73">
        <v>10629</v>
      </c>
      <c r="AG17" s="73">
        <v>5665</v>
      </c>
      <c r="AH17" s="73">
        <v>1049</v>
      </c>
      <c r="AI17" s="73">
        <v>4897</v>
      </c>
      <c r="AJ17" s="73">
        <v>134259</v>
      </c>
      <c r="AK17" s="73">
        <v>34883</v>
      </c>
      <c r="AL17" s="73">
        <v>880</v>
      </c>
      <c r="AM17" s="73">
        <v>1051</v>
      </c>
      <c r="AN17" s="73">
        <v>20774</v>
      </c>
      <c r="AO17" s="73">
        <v>4919</v>
      </c>
      <c r="AP17" s="73">
        <v>0</v>
      </c>
      <c r="AQ17" s="73">
        <v>0</v>
      </c>
      <c r="AR17" s="73">
        <v>443</v>
      </c>
      <c r="AS17" s="73">
        <v>0</v>
      </c>
      <c r="AT17" s="73">
        <v>0</v>
      </c>
      <c r="AU17" s="73">
        <v>0</v>
      </c>
      <c r="AV17">
        <v>0</v>
      </c>
      <c r="AW17">
        <v>0</v>
      </c>
      <c r="AX17">
        <v>29356</v>
      </c>
    </row>
    <row r="18" spans="1:50" ht="14.5" x14ac:dyDescent="0.35">
      <c r="A18" s="72" t="s">
        <v>35</v>
      </c>
      <c r="B18" s="72" t="str">
        <f>VLOOKUP(Tabelle_Abfrage_von_MS_Access_Database3[[#This Row],[LAND]],Texte!$A$4:$C$261,Texte!$A$1+1,FALSE)</f>
        <v>Island</v>
      </c>
      <c r="C18" s="72" t="s">
        <v>508</v>
      </c>
      <c r="D18" s="72" t="s">
        <v>557</v>
      </c>
      <c r="E18" s="73">
        <v>1737000</v>
      </c>
      <c r="F18" s="73">
        <v>1322000</v>
      </c>
      <c r="G18" s="73">
        <v>1590000</v>
      </c>
      <c r="H18" s="73">
        <v>2241000</v>
      </c>
      <c r="I18" s="73">
        <v>1607000</v>
      </c>
      <c r="J18" s="73">
        <v>2795000</v>
      </c>
      <c r="K18" s="73">
        <v>2620000</v>
      </c>
      <c r="L18" s="73">
        <v>3423000</v>
      </c>
      <c r="M18" s="73">
        <v>1925000</v>
      </c>
      <c r="N18" s="73">
        <v>1732000</v>
      </c>
      <c r="O18" s="73">
        <v>3981000</v>
      </c>
      <c r="P18" s="73">
        <v>2829000</v>
      </c>
      <c r="Q18" s="73">
        <v>5611000</v>
      </c>
      <c r="R18" s="73">
        <v>3324000</v>
      </c>
      <c r="S18" s="73">
        <v>2912000</v>
      </c>
      <c r="T18" s="73">
        <v>2369000</v>
      </c>
      <c r="U18" s="73">
        <v>3859000</v>
      </c>
      <c r="V18" s="73">
        <v>3129944</v>
      </c>
      <c r="W18" s="73">
        <v>2676608</v>
      </c>
      <c r="X18" s="73">
        <v>2887510</v>
      </c>
      <c r="Y18" s="73">
        <v>3047822</v>
      </c>
      <c r="Z18" s="73">
        <v>18159047</v>
      </c>
      <c r="AA18" s="73">
        <v>16553351</v>
      </c>
      <c r="AB18" s="73">
        <v>5178100</v>
      </c>
      <c r="AC18" s="73">
        <v>4417444</v>
      </c>
      <c r="AD18" s="73">
        <v>14113698</v>
      </c>
      <c r="AE18" s="73">
        <v>3546039</v>
      </c>
      <c r="AF18" s="73">
        <v>2834213</v>
      </c>
      <c r="AG18" s="73">
        <v>3089108</v>
      </c>
      <c r="AH18" s="73">
        <v>6504092</v>
      </c>
      <c r="AI18" s="73">
        <v>11344483</v>
      </c>
      <c r="AJ18" s="73">
        <v>8477356</v>
      </c>
      <c r="AK18" s="73">
        <v>15679508</v>
      </c>
      <c r="AL18" s="73">
        <v>14277930</v>
      </c>
      <c r="AM18" s="73">
        <v>10404739</v>
      </c>
      <c r="AN18" s="73">
        <v>21917579</v>
      </c>
      <c r="AO18" s="73">
        <v>7291822</v>
      </c>
      <c r="AP18" s="73">
        <v>14507550</v>
      </c>
      <c r="AQ18" s="73">
        <v>18114048</v>
      </c>
      <c r="AR18" s="73">
        <v>77519968</v>
      </c>
      <c r="AS18" s="73">
        <v>75613168</v>
      </c>
      <c r="AT18" s="73">
        <v>63748459</v>
      </c>
      <c r="AU18" s="73">
        <v>55690603</v>
      </c>
      <c r="AV18">
        <v>71876645</v>
      </c>
      <c r="AW18">
        <v>82216521</v>
      </c>
      <c r="AX18">
        <v>79163026</v>
      </c>
    </row>
    <row r="19" spans="1:50" ht="14.5" x14ac:dyDescent="0.35">
      <c r="A19" s="72" t="s">
        <v>37</v>
      </c>
      <c r="B19" s="72" t="str">
        <f>VLOOKUP(Tabelle_Abfrage_von_MS_Access_Database3[[#This Row],[LAND]],Texte!$A$4:$C$261,Texte!$A$1+1,FALSE)</f>
        <v>Svalbard</v>
      </c>
      <c r="C19" s="72" t="s">
        <v>525</v>
      </c>
      <c r="D19" s="72" t="s">
        <v>526</v>
      </c>
      <c r="E19" s="73">
        <v>0</v>
      </c>
      <c r="F19" s="73">
        <v>0</v>
      </c>
      <c r="G19" s="73">
        <v>0</v>
      </c>
      <c r="H19" s="73">
        <v>0</v>
      </c>
      <c r="I19" s="73">
        <v>0</v>
      </c>
      <c r="J19" s="73">
        <v>0</v>
      </c>
      <c r="K19" s="73">
        <v>0</v>
      </c>
      <c r="L19" s="73">
        <v>0</v>
      </c>
      <c r="M19" s="73">
        <v>0</v>
      </c>
      <c r="N19" s="73">
        <v>0</v>
      </c>
      <c r="O19" s="73">
        <v>0</v>
      </c>
      <c r="P19" s="73">
        <v>0</v>
      </c>
      <c r="Q19" s="73">
        <v>0</v>
      </c>
      <c r="R19" s="73">
        <v>0</v>
      </c>
      <c r="S19" s="73">
        <v>0</v>
      </c>
      <c r="T19" s="73">
        <v>0</v>
      </c>
      <c r="U19" s="73">
        <v>0</v>
      </c>
      <c r="V19" s="73">
        <v>436</v>
      </c>
      <c r="W19" s="73">
        <v>13590</v>
      </c>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row>
    <row r="20" spans="1:50" ht="14.5" x14ac:dyDescent="0.35">
      <c r="A20" s="72" t="s">
        <v>39</v>
      </c>
      <c r="B20" s="72" t="str">
        <f>VLOOKUP(Tabelle_Abfrage_von_MS_Access_Database3[[#This Row],[LAND]],Texte!$A$4:$C$261,Texte!$A$1+1,FALSE)</f>
        <v>Norwegen</v>
      </c>
      <c r="C20" s="72" t="s">
        <v>508</v>
      </c>
      <c r="D20" s="72" t="s">
        <v>557</v>
      </c>
      <c r="E20" s="73">
        <v>65581000</v>
      </c>
      <c r="F20" s="73">
        <v>74123000</v>
      </c>
      <c r="G20" s="73">
        <v>77600000</v>
      </c>
      <c r="H20" s="73">
        <v>77331000</v>
      </c>
      <c r="I20" s="73">
        <v>78727000</v>
      </c>
      <c r="J20" s="73">
        <v>99174000</v>
      </c>
      <c r="K20" s="73">
        <v>197305000</v>
      </c>
      <c r="L20" s="73">
        <v>222037000</v>
      </c>
      <c r="M20" s="73">
        <v>129970000</v>
      </c>
      <c r="N20" s="73">
        <v>170190000</v>
      </c>
      <c r="O20" s="73">
        <v>137820000</v>
      </c>
      <c r="P20" s="73">
        <v>146504000</v>
      </c>
      <c r="Q20" s="73">
        <v>134672000</v>
      </c>
      <c r="R20" s="73">
        <v>137563000</v>
      </c>
      <c r="S20" s="73">
        <v>133070000</v>
      </c>
      <c r="T20" s="73">
        <v>129694000</v>
      </c>
      <c r="U20" s="73">
        <v>143410000</v>
      </c>
      <c r="V20" s="73">
        <v>105320962</v>
      </c>
      <c r="W20" s="73">
        <v>89889156</v>
      </c>
      <c r="X20" s="73">
        <v>96198541</v>
      </c>
      <c r="Y20" s="73">
        <v>105044207</v>
      </c>
      <c r="Z20" s="73">
        <v>111783233</v>
      </c>
      <c r="AA20" s="73">
        <v>100749270</v>
      </c>
      <c r="AB20" s="73">
        <v>236815152</v>
      </c>
      <c r="AC20" s="73">
        <v>206384629</v>
      </c>
      <c r="AD20" s="73">
        <v>245964193</v>
      </c>
      <c r="AE20" s="73">
        <v>296853514</v>
      </c>
      <c r="AF20" s="73">
        <v>364196788</v>
      </c>
      <c r="AG20" s="73">
        <v>563450796</v>
      </c>
      <c r="AH20" s="73">
        <v>537860851</v>
      </c>
      <c r="AI20" s="73">
        <v>591396934</v>
      </c>
      <c r="AJ20" s="73">
        <v>526080574</v>
      </c>
      <c r="AK20" s="73">
        <v>580679833</v>
      </c>
      <c r="AL20" s="73">
        <v>614524922</v>
      </c>
      <c r="AM20" s="73">
        <v>697202397</v>
      </c>
      <c r="AN20" s="73">
        <v>299904422</v>
      </c>
      <c r="AO20" s="73">
        <v>248159702</v>
      </c>
      <c r="AP20" s="73">
        <v>262312297</v>
      </c>
      <c r="AQ20" s="73">
        <v>252432013</v>
      </c>
      <c r="AR20" s="73">
        <v>313282983</v>
      </c>
      <c r="AS20" s="73">
        <v>348707318</v>
      </c>
      <c r="AT20" s="73">
        <v>360043598</v>
      </c>
      <c r="AU20" s="73">
        <v>292691191</v>
      </c>
      <c r="AV20">
        <v>363518957</v>
      </c>
      <c r="AW20">
        <v>565536530</v>
      </c>
      <c r="AX20">
        <v>500090630</v>
      </c>
    </row>
    <row r="21" spans="1:50" ht="14.5" x14ac:dyDescent="0.35">
      <c r="A21" s="72" t="s">
        <v>41</v>
      </c>
      <c r="B21" s="72" t="str">
        <f>VLOOKUP(Tabelle_Abfrage_von_MS_Access_Database3[[#This Row],[LAND]],Texte!$A$4:$C$261,Texte!$A$1+1,FALSE)</f>
        <v>Schweden</v>
      </c>
      <c r="C21" s="72" t="s">
        <v>508</v>
      </c>
      <c r="D21" s="72" t="s">
        <v>557</v>
      </c>
      <c r="E21" s="73">
        <v>311697000</v>
      </c>
      <c r="F21" s="73">
        <v>378440000</v>
      </c>
      <c r="G21" s="73">
        <v>416391000</v>
      </c>
      <c r="H21" s="73">
        <v>431172000</v>
      </c>
      <c r="I21" s="73">
        <v>423274000</v>
      </c>
      <c r="J21" s="73">
        <v>446065000</v>
      </c>
      <c r="K21" s="73">
        <v>522018000</v>
      </c>
      <c r="L21" s="73">
        <v>565479000</v>
      </c>
      <c r="M21" s="73">
        <v>518967000</v>
      </c>
      <c r="N21" s="73">
        <v>525767000</v>
      </c>
      <c r="O21" s="73">
        <v>602588000</v>
      </c>
      <c r="P21" s="73">
        <v>665070000</v>
      </c>
      <c r="Q21" s="73">
        <v>706200000</v>
      </c>
      <c r="R21" s="73">
        <v>727839000</v>
      </c>
      <c r="S21" s="73">
        <v>777783000</v>
      </c>
      <c r="T21" s="73">
        <v>683897000</v>
      </c>
      <c r="U21" s="73">
        <v>801587000</v>
      </c>
      <c r="V21" s="73">
        <v>803842713</v>
      </c>
      <c r="W21" s="73">
        <v>797902035</v>
      </c>
      <c r="X21" s="73">
        <v>766195280</v>
      </c>
      <c r="Y21" s="73">
        <v>882205027</v>
      </c>
      <c r="Z21" s="73">
        <v>874777341</v>
      </c>
      <c r="AA21" s="73">
        <v>1130039354</v>
      </c>
      <c r="AB21" s="73">
        <v>1041705377</v>
      </c>
      <c r="AC21" s="73">
        <v>994294537</v>
      </c>
      <c r="AD21" s="73">
        <v>1061979955</v>
      </c>
      <c r="AE21" s="73">
        <v>1214417738</v>
      </c>
      <c r="AF21" s="73">
        <v>1177349009</v>
      </c>
      <c r="AG21" s="73">
        <v>1250970166</v>
      </c>
      <c r="AH21" s="73">
        <v>1495993212</v>
      </c>
      <c r="AI21" s="73">
        <v>1476277874</v>
      </c>
      <c r="AJ21" s="73">
        <v>1081782047</v>
      </c>
      <c r="AK21" s="73">
        <v>1247208662</v>
      </c>
      <c r="AL21" s="73">
        <v>1391284913</v>
      </c>
      <c r="AM21" s="73">
        <v>1403491524</v>
      </c>
      <c r="AN21" s="73">
        <v>1276006451</v>
      </c>
      <c r="AO21" s="73">
        <v>1265252838</v>
      </c>
      <c r="AP21" s="73">
        <v>1230730094</v>
      </c>
      <c r="AQ21" s="73">
        <v>1216699380</v>
      </c>
      <c r="AR21" s="73">
        <v>1434164902</v>
      </c>
      <c r="AS21" s="73">
        <v>1535229351</v>
      </c>
      <c r="AT21" s="73">
        <v>1569325995</v>
      </c>
      <c r="AU21" s="73">
        <v>1357463704</v>
      </c>
      <c r="AV21">
        <v>1626169547</v>
      </c>
      <c r="AW21">
        <v>2018518693</v>
      </c>
      <c r="AX21">
        <v>2053044402</v>
      </c>
    </row>
    <row r="22" spans="1:50" ht="14.5" x14ac:dyDescent="0.35">
      <c r="A22" s="72" t="s">
        <v>43</v>
      </c>
      <c r="B22" s="72" t="str">
        <f>VLOOKUP(Tabelle_Abfrage_von_MS_Access_Database3[[#This Row],[LAND]],Texte!$A$4:$C$261,Texte!$A$1+1,FALSE)</f>
        <v>Finnland</v>
      </c>
      <c r="C22" s="72" t="s">
        <v>508</v>
      </c>
      <c r="D22" s="72" t="s">
        <v>557</v>
      </c>
      <c r="E22" s="73">
        <v>75028000</v>
      </c>
      <c r="F22" s="73">
        <v>90671000</v>
      </c>
      <c r="G22" s="73">
        <v>105904000</v>
      </c>
      <c r="H22" s="73">
        <v>109406000</v>
      </c>
      <c r="I22" s="73">
        <v>126480000</v>
      </c>
      <c r="J22" s="73">
        <v>144521000</v>
      </c>
      <c r="K22" s="73">
        <v>167046000</v>
      </c>
      <c r="L22" s="73">
        <v>166988000</v>
      </c>
      <c r="M22" s="73">
        <v>188248000</v>
      </c>
      <c r="N22" s="73">
        <v>233180000</v>
      </c>
      <c r="O22" s="73">
        <v>221698000</v>
      </c>
      <c r="P22" s="73">
        <v>299283000</v>
      </c>
      <c r="Q22" s="73">
        <v>287906000</v>
      </c>
      <c r="R22" s="73">
        <v>292346000</v>
      </c>
      <c r="S22" s="73">
        <v>302259000</v>
      </c>
      <c r="T22" s="73">
        <v>263707000</v>
      </c>
      <c r="U22" s="73">
        <v>312602000</v>
      </c>
      <c r="V22" s="73">
        <v>331581059</v>
      </c>
      <c r="W22" s="73">
        <v>344671453</v>
      </c>
      <c r="X22" s="73">
        <v>361399307</v>
      </c>
      <c r="Y22" s="73">
        <v>576073096</v>
      </c>
      <c r="Z22" s="73">
        <v>671370099</v>
      </c>
      <c r="AA22" s="73">
        <v>816027038</v>
      </c>
      <c r="AB22" s="73">
        <v>789266614</v>
      </c>
      <c r="AC22" s="73">
        <v>741191341</v>
      </c>
      <c r="AD22" s="73">
        <v>747598331</v>
      </c>
      <c r="AE22" s="73">
        <v>705362890</v>
      </c>
      <c r="AF22" s="73">
        <v>1071802141</v>
      </c>
      <c r="AG22" s="73">
        <v>794202256</v>
      </c>
      <c r="AH22" s="73">
        <v>753225896</v>
      </c>
      <c r="AI22" s="73">
        <v>647972470</v>
      </c>
      <c r="AJ22" s="73">
        <v>459479233</v>
      </c>
      <c r="AK22" s="73">
        <v>443707153</v>
      </c>
      <c r="AL22" s="73">
        <v>496416289</v>
      </c>
      <c r="AM22" s="73">
        <v>552374004</v>
      </c>
      <c r="AN22" s="73">
        <v>434991471</v>
      </c>
      <c r="AO22" s="73">
        <v>422627610</v>
      </c>
      <c r="AP22" s="73">
        <v>472100440</v>
      </c>
      <c r="AQ22" s="73">
        <v>454615707</v>
      </c>
      <c r="AR22" s="73">
        <v>479328830</v>
      </c>
      <c r="AS22" s="73">
        <v>535515342</v>
      </c>
      <c r="AT22" s="73">
        <v>559537714</v>
      </c>
      <c r="AU22" s="73">
        <v>546343653</v>
      </c>
      <c r="AV22">
        <v>615451679</v>
      </c>
      <c r="AW22">
        <v>733624655</v>
      </c>
      <c r="AX22">
        <v>596731154</v>
      </c>
    </row>
    <row r="23" spans="1:50" ht="14.5" x14ac:dyDescent="0.35">
      <c r="A23" s="72" t="s">
        <v>45</v>
      </c>
      <c r="B23" s="72" t="str">
        <f>VLOOKUP(Tabelle_Abfrage_von_MS_Access_Database3[[#This Row],[LAND]],Texte!$A$4:$C$261,Texte!$A$1+1,FALSE)</f>
        <v>Liechtenstein</v>
      </c>
      <c r="C23" s="72" t="s">
        <v>525</v>
      </c>
      <c r="D23" s="72" t="s">
        <v>557</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30276150</v>
      </c>
      <c r="W23" s="73">
        <v>71279474</v>
      </c>
      <c r="X23" s="73">
        <v>69048566</v>
      </c>
      <c r="Y23" s="73">
        <v>66919962</v>
      </c>
      <c r="Z23" s="73">
        <v>79885912</v>
      </c>
      <c r="AA23" s="73">
        <v>89693752</v>
      </c>
      <c r="AB23" s="73">
        <v>101891143</v>
      </c>
      <c r="AC23" s="73">
        <v>97197232</v>
      </c>
      <c r="AD23" s="73">
        <v>103821769</v>
      </c>
      <c r="AE23" s="73">
        <v>115181291</v>
      </c>
      <c r="AF23" s="73">
        <v>129600821</v>
      </c>
      <c r="AG23" s="73">
        <v>138299805</v>
      </c>
      <c r="AH23" s="73">
        <v>507803020</v>
      </c>
      <c r="AI23" s="73">
        <v>214743586</v>
      </c>
      <c r="AJ23" s="73">
        <v>206487356</v>
      </c>
      <c r="AK23" s="73">
        <v>200783510</v>
      </c>
      <c r="AL23" s="73">
        <v>189176590</v>
      </c>
      <c r="AM23" s="73">
        <v>193772869</v>
      </c>
      <c r="AN23" s="73">
        <v>224187621</v>
      </c>
      <c r="AO23" s="73">
        <v>226852271</v>
      </c>
      <c r="AP23" s="73">
        <v>249179238</v>
      </c>
      <c r="AQ23" s="73">
        <v>269181454</v>
      </c>
      <c r="AR23" s="73">
        <v>383421600</v>
      </c>
      <c r="AS23" s="73">
        <v>400929742</v>
      </c>
      <c r="AT23" s="73">
        <v>427383982</v>
      </c>
      <c r="AU23" s="73">
        <v>415323998</v>
      </c>
      <c r="AV23">
        <v>399587855</v>
      </c>
      <c r="AW23">
        <v>280654910</v>
      </c>
      <c r="AX23">
        <v>1337867650</v>
      </c>
    </row>
    <row r="24" spans="1:50" ht="14.5" x14ac:dyDescent="0.35">
      <c r="A24" s="72" t="s">
        <v>47</v>
      </c>
      <c r="B24" s="72" t="str">
        <f>VLOOKUP(Tabelle_Abfrage_von_MS_Access_Database3[[#This Row],[LAND]],Texte!$A$4:$C$261,Texte!$A$1+1,FALSE)</f>
        <v>Schweiz</v>
      </c>
      <c r="C24" s="72" t="s">
        <v>508</v>
      </c>
      <c r="D24" s="72" t="s">
        <v>557</v>
      </c>
      <c r="E24" s="73">
        <v>1035500000</v>
      </c>
      <c r="F24" s="73">
        <v>1052555000</v>
      </c>
      <c r="G24" s="73">
        <v>1146997000</v>
      </c>
      <c r="H24" s="73">
        <v>1159320000</v>
      </c>
      <c r="I24" s="73">
        <v>1156892000</v>
      </c>
      <c r="J24" s="73">
        <v>1201917000</v>
      </c>
      <c r="K24" s="73">
        <v>1265174000</v>
      </c>
      <c r="L24" s="73">
        <v>1412432000</v>
      </c>
      <c r="M24" s="73">
        <v>1435335000</v>
      </c>
      <c r="N24" s="73">
        <v>1409936000</v>
      </c>
      <c r="O24" s="73">
        <v>1445472000</v>
      </c>
      <c r="P24" s="73">
        <v>1547786000</v>
      </c>
      <c r="Q24" s="73">
        <v>1720826000</v>
      </c>
      <c r="R24" s="73">
        <v>1794136000</v>
      </c>
      <c r="S24" s="73">
        <v>1728339000</v>
      </c>
      <c r="T24" s="73">
        <v>1676960000</v>
      </c>
      <c r="U24" s="73">
        <v>1862574000</v>
      </c>
      <c r="V24" s="73">
        <v>1857724606</v>
      </c>
      <c r="W24" s="73">
        <v>1808843403</v>
      </c>
      <c r="X24" s="73">
        <v>1909062372</v>
      </c>
      <c r="Y24" s="73">
        <v>2113048329</v>
      </c>
      <c r="Z24" s="73">
        <v>2229960880</v>
      </c>
      <c r="AA24" s="73">
        <v>2279695166</v>
      </c>
      <c r="AB24" s="73">
        <v>2527653238</v>
      </c>
      <c r="AC24" s="73">
        <v>2533368961</v>
      </c>
      <c r="AD24" s="73">
        <v>3312596603</v>
      </c>
      <c r="AE24" s="73">
        <v>2732002787</v>
      </c>
      <c r="AF24" s="73">
        <v>3214127290</v>
      </c>
      <c r="AG24" s="73">
        <v>3495101569</v>
      </c>
      <c r="AH24" s="73">
        <v>4236874741</v>
      </c>
      <c r="AI24" s="73">
        <v>5021343882</v>
      </c>
      <c r="AJ24" s="73">
        <v>5620179134</v>
      </c>
      <c r="AK24" s="73">
        <v>5941150807</v>
      </c>
      <c r="AL24" s="73">
        <v>7044902521</v>
      </c>
      <c r="AM24" s="73">
        <v>6869556867</v>
      </c>
      <c r="AN24" s="73">
        <v>6821990021</v>
      </c>
      <c r="AO24" s="73">
        <v>6633011082</v>
      </c>
      <c r="AP24" s="73">
        <v>7498297796</v>
      </c>
      <c r="AQ24" s="73">
        <v>7102537296</v>
      </c>
      <c r="AR24" s="73">
        <v>7624574390</v>
      </c>
      <c r="AS24" s="73">
        <v>6801878723</v>
      </c>
      <c r="AT24" s="73">
        <v>6067742001</v>
      </c>
      <c r="AU24" s="73">
        <v>7616832912</v>
      </c>
      <c r="AV24">
        <v>9726186465</v>
      </c>
      <c r="AW24">
        <v>10025580778</v>
      </c>
      <c r="AX24">
        <v>10276270223</v>
      </c>
    </row>
    <row r="25" spans="1:50" ht="14.5" x14ac:dyDescent="0.35">
      <c r="A25" s="72" t="s">
        <v>49</v>
      </c>
      <c r="B25" s="72" t="str">
        <f>VLOOKUP(Tabelle_Abfrage_von_MS_Access_Database3[[#This Row],[LAND]],Texte!$A$4:$C$261,Texte!$A$1+1,FALSE)</f>
        <v>Färöerinseln</v>
      </c>
      <c r="C25" s="72" t="s">
        <v>525</v>
      </c>
      <c r="D25" s="72" t="s">
        <v>557</v>
      </c>
      <c r="E25" s="73">
        <v>0</v>
      </c>
      <c r="F25" s="73">
        <v>0</v>
      </c>
      <c r="G25" s="73">
        <v>0</v>
      </c>
      <c r="H25" s="73">
        <v>0</v>
      </c>
      <c r="I25" s="73">
        <v>0</v>
      </c>
      <c r="J25" s="73">
        <v>0</v>
      </c>
      <c r="K25" s="73">
        <v>0</v>
      </c>
      <c r="L25" s="73">
        <v>0</v>
      </c>
      <c r="M25" s="73">
        <v>0</v>
      </c>
      <c r="N25" s="73">
        <v>0</v>
      </c>
      <c r="O25" s="73">
        <v>0</v>
      </c>
      <c r="P25" s="73">
        <v>0</v>
      </c>
      <c r="Q25" s="73">
        <v>0</v>
      </c>
      <c r="R25" s="73">
        <v>0</v>
      </c>
      <c r="S25" s="73">
        <v>0</v>
      </c>
      <c r="T25" s="73">
        <v>0</v>
      </c>
      <c r="U25" s="73">
        <v>0</v>
      </c>
      <c r="V25" s="73">
        <v>34374</v>
      </c>
      <c r="W25" s="73">
        <v>11628</v>
      </c>
      <c r="X25" s="73">
        <v>87933</v>
      </c>
      <c r="Y25" s="73">
        <v>123325</v>
      </c>
      <c r="Z25" s="73">
        <v>200141</v>
      </c>
      <c r="AA25" s="73">
        <v>412636</v>
      </c>
      <c r="AB25" s="73">
        <v>39843</v>
      </c>
      <c r="AC25" s="73">
        <v>69133</v>
      </c>
      <c r="AD25" s="73">
        <v>73924</v>
      </c>
      <c r="AE25" s="73">
        <v>100086</v>
      </c>
      <c r="AF25" s="73">
        <v>61623</v>
      </c>
      <c r="AG25" s="73">
        <v>264670</v>
      </c>
      <c r="AH25" s="73">
        <v>105484</v>
      </c>
      <c r="AI25" s="73">
        <v>160232</v>
      </c>
      <c r="AJ25" s="73">
        <v>96016</v>
      </c>
      <c r="AK25" s="73">
        <v>136150</v>
      </c>
      <c r="AL25" s="73">
        <v>78229</v>
      </c>
      <c r="AM25" s="73">
        <v>131041</v>
      </c>
      <c r="AN25" s="73">
        <v>93859</v>
      </c>
      <c r="AO25" s="73">
        <v>48089</v>
      </c>
      <c r="AP25" s="73">
        <v>219965</v>
      </c>
      <c r="AQ25" s="73">
        <v>540461</v>
      </c>
      <c r="AR25" s="73">
        <v>640415</v>
      </c>
      <c r="AS25" s="73">
        <v>55219</v>
      </c>
      <c r="AT25" s="73">
        <v>47250</v>
      </c>
      <c r="AU25" s="73">
        <v>139867</v>
      </c>
      <c r="AV25">
        <v>193440</v>
      </c>
      <c r="AW25">
        <v>452275</v>
      </c>
      <c r="AX25">
        <v>515963</v>
      </c>
    </row>
    <row r="26" spans="1:50" ht="14.5" x14ac:dyDescent="0.35">
      <c r="A26" s="72" t="s">
        <v>51</v>
      </c>
      <c r="B26" s="72" t="str">
        <f>VLOOKUP(Tabelle_Abfrage_von_MS_Access_Database3[[#This Row],[LAND]],Texte!$A$4:$C$261,Texte!$A$1+1,FALSE)</f>
        <v>Andorra</v>
      </c>
      <c r="C26" s="72" t="s">
        <v>525</v>
      </c>
      <c r="D26" s="72" t="s">
        <v>557</v>
      </c>
      <c r="E26" s="73">
        <v>0</v>
      </c>
      <c r="F26" s="73">
        <v>0</v>
      </c>
      <c r="G26" s="73">
        <v>0</v>
      </c>
      <c r="H26" s="73">
        <v>0</v>
      </c>
      <c r="I26" s="73">
        <v>0</v>
      </c>
      <c r="J26" s="73">
        <v>0</v>
      </c>
      <c r="K26" s="73">
        <v>0</v>
      </c>
      <c r="L26" s="73">
        <v>0</v>
      </c>
      <c r="M26" s="73">
        <v>0</v>
      </c>
      <c r="N26" s="73">
        <v>0</v>
      </c>
      <c r="O26" s="73">
        <v>0</v>
      </c>
      <c r="P26" s="73">
        <v>0</v>
      </c>
      <c r="Q26" s="73">
        <v>0</v>
      </c>
      <c r="R26" s="73">
        <v>0</v>
      </c>
      <c r="S26" s="73">
        <v>0</v>
      </c>
      <c r="T26" s="73">
        <v>0</v>
      </c>
      <c r="U26" s="73">
        <v>0</v>
      </c>
      <c r="V26" s="73">
        <v>266782</v>
      </c>
      <c r="W26" s="73">
        <v>71148</v>
      </c>
      <c r="X26" s="73">
        <v>191494</v>
      </c>
      <c r="Y26" s="73">
        <v>2110709</v>
      </c>
      <c r="Z26" s="73">
        <v>323395</v>
      </c>
      <c r="AA26" s="73">
        <v>575932</v>
      </c>
      <c r="AB26" s="73">
        <v>2369569</v>
      </c>
      <c r="AC26" s="73">
        <v>179046</v>
      </c>
      <c r="AD26" s="73">
        <v>182029</v>
      </c>
      <c r="AE26" s="73">
        <v>717801</v>
      </c>
      <c r="AF26" s="73">
        <v>104569</v>
      </c>
      <c r="AG26" s="73">
        <v>102492</v>
      </c>
      <c r="AH26" s="73">
        <v>465676</v>
      </c>
      <c r="AI26" s="73">
        <v>117164</v>
      </c>
      <c r="AJ26" s="73">
        <v>36309</v>
      </c>
      <c r="AK26" s="73">
        <v>540649</v>
      </c>
      <c r="AL26" s="73">
        <v>220690</v>
      </c>
      <c r="AM26" s="73">
        <v>85711</v>
      </c>
      <c r="AN26" s="73">
        <v>103557</v>
      </c>
      <c r="AO26" s="73">
        <v>69965</v>
      </c>
      <c r="AP26" s="73">
        <v>64602</v>
      </c>
      <c r="AQ26" s="73">
        <v>320200</v>
      </c>
      <c r="AR26" s="73">
        <v>1265881</v>
      </c>
      <c r="AS26" s="73">
        <v>850355</v>
      </c>
      <c r="AT26" s="73">
        <v>185395</v>
      </c>
      <c r="AU26" s="73">
        <v>367875</v>
      </c>
      <c r="AV26">
        <v>182053</v>
      </c>
      <c r="AW26">
        <v>240920</v>
      </c>
      <c r="AX26">
        <v>364836</v>
      </c>
    </row>
    <row r="27" spans="1:50" ht="14.5" x14ac:dyDescent="0.35">
      <c r="A27" s="72" t="s">
        <v>53</v>
      </c>
      <c r="B27" s="72" t="str">
        <f>VLOOKUP(Tabelle_Abfrage_von_MS_Access_Database3[[#This Row],[LAND]],Texte!$A$4:$C$261,Texte!$A$1+1,FALSE)</f>
        <v>Gibraltar</v>
      </c>
      <c r="C27" s="72" t="s">
        <v>508</v>
      </c>
      <c r="D27" s="72" t="s">
        <v>557</v>
      </c>
      <c r="E27" s="73">
        <v>0</v>
      </c>
      <c r="F27" s="73">
        <v>6000</v>
      </c>
      <c r="G27" s="73">
        <v>0</v>
      </c>
      <c r="H27" s="73">
        <v>1000</v>
      </c>
      <c r="I27" s="73">
        <v>3000</v>
      </c>
      <c r="J27" s="73">
        <v>1000</v>
      </c>
      <c r="K27" s="73">
        <v>1000</v>
      </c>
      <c r="L27" s="73">
        <v>3000</v>
      </c>
      <c r="M27" s="73">
        <v>10000</v>
      </c>
      <c r="N27" s="73">
        <v>16000</v>
      </c>
      <c r="O27" s="73">
        <v>1000</v>
      </c>
      <c r="P27" s="73">
        <v>4000</v>
      </c>
      <c r="Q27" s="73">
        <v>0</v>
      </c>
      <c r="R27" s="73">
        <v>50000</v>
      </c>
      <c r="S27" s="73">
        <v>0</v>
      </c>
      <c r="T27" s="73">
        <v>76000</v>
      </c>
      <c r="U27" s="73">
        <v>5000</v>
      </c>
      <c r="V27" s="73">
        <v>34010</v>
      </c>
      <c r="W27" s="73">
        <v>5670</v>
      </c>
      <c r="X27" s="73">
        <v>191346</v>
      </c>
      <c r="Y27" s="73">
        <v>19913</v>
      </c>
      <c r="Z27" s="73">
        <v>44768</v>
      </c>
      <c r="AA27" s="73">
        <v>76452</v>
      </c>
      <c r="AB27" s="73">
        <v>73018</v>
      </c>
      <c r="AC27" s="73">
        <v>14086</v>
      </c>
      <c r="AD27" s="73">
        <v>37856</v>
      </c>
      <c r="AE27" s="73">
        <v>5218</v>
      </c>
      <c r="AF27" s="73">
        <v>24283</v>
      </c>
      <c r="AG27" s="73">
        <v>10869</v>
      </c>
      <c r="AH27" s="73">
        <v>474288</v>
      </c>
      <c r="AI27" s="73">
        <v>14135</v>
      </c>
      <c r="AJ27" s="73">
        <v>71253</v>
      </c>
      <c r="AK27" s="73">
        <v>753985</v>
      </c>
      <c r="AL27" s="73">
        <v>558346</v>
      </c>
      <c r="AM27" s="73">
        <v>176849</v>
      </c>
      <c r="AN27" s="73">
        <v>23359</v>
      </c>
      <c r="AO27" s="73">
        <v>24111</v>
      </c>
      <c r="AP27" s="73">
        <v>11159</v>
      </c>
      <c r="AQ27" s="73">
        <v>56813</v>
      </c>
      <c r="AR27" s="73">
        <v>93849</v>
      </c>
      <c r="AS27" s="73">
        <v>271814</v>
      </c>
      <c r="AT27" s="73">
        <v>958242</v>
      </c>
      <c r="AU27" s="73">
        <v>63694</v>
      </c>
      <c r="AV27">
        <v>875087</v>
      </c>
      <c r="AW27">
        <v>65864</v>
      </c>
      <c r="AX27">
        <v>1823477</v>
      </c>
    </row>
    <row r="28" spans="1:50" ht="14.5" x14ac:dyDescent="0.35">
      <c r="A28" s="72" t="s">
        <v>55</v>
      </c>
      <c r="B28" s="72" t="str">
        <f>VLOOKUP(Tabelle_Abfrage_von_MS_Access_Database3[[#This Row],[LAND]],Texte!$A$4:$C$261,Texte!$A$1+1,FALSE)</f>
        <v>Vatikanstadt</v>
      </c>
      <c r="C28" s="72" t="s">
        <v>525</v>
      </c>
      <c r="D28" s="72" t="s">
        <v>557</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26524</v>
      </c>
      <c r="W28" s="73">
        <v>12935</v>
      </c>
      <c r="X28" s="73">
        <v>21657</v>
      </c>
      <c r="Y28" s="73">
        <v>27981</v>
      </c>
      <c r="Z28" s="73">
        <v>36408</v>
      </c>
      <c r="AA28" s="73">
        <v>38443</v>
      </c>
      <c r="AB28" s="73">
        <v>44091</v>
      </c>
      <c r="AC28" s="73">
        <v>65185</v>
      </c>
      <c r="AD28" s="73">
        <v>115141</v>
      </c>
      <c r="AE28" s="73">
        <v>9398</v>
      </c>
      <c r="AF28" s="73">
        <v>7358</v>
      </c>
      <c r="AG28" s="73">
        <v>29487</v>
      </c>
      <c r="AH28" s="73">
        <v>44370</v>
      </c>
      <c r="AI28" s="73">
        <v>37216</v>
      </c>
      <c r="AJ28" s="73">
        <v>33130</v>
      </c>
      <c r="AK28" s="73">
        <v>30635</v>
      </c>
      <c r="AL28" s="73">
        <v>38240</v>
      </c>
      <c r="AM28" s="73">
        <v>30935</v>
      </c>
      <c r="AN28" s="73">
        <v>101055</v>
      </c>
      <c r="AO28" s="73">
        <v>75870</v>
      </c>
      <c r="AP28" s="73">
        <v>103173</v>
      </c>
      <c r="AQ28" s="73">
        <v>92496</v>
      </c>
      <c r="AR28" s="73">
        <v>95667</v>
      </c>
      <c r="AS28" s="73">
        <v>112746</v>
      </c>
      <c r="AT28" s="73">
        <v>67512</v>
      </c>
      <c r="AU28" s="73">
        <v>31174</v>
      </c>
      <c r="AV28">
        <v>52853</v>
      </c>
      <c r="AW28">
        <v>114350</v>
      </c>
      <c r="AX28">
        <v>148609</v>
      </c>
    </row>
    <row r="29" spans="1:50" ht="14.5" x14ac:dyDescent="0.35">
      <c r="A29" s="72" t="s">
        <v>57</v>
      </c>
      <c r="B29" s="72" t="str">
        <f>VLOOKUP(Tabelle_Abfrage_von_MS_Access_Database3[[#This Row],[LAND]],Texte!$A$4:$C$261,Texte!$A$1+1,FALSE)</f>
        <v>Malta</v>
      </c>
      <c r="C29" s="72" t="s">
        <v>508</v>
      </c>
      <c r="D29" s="72" t="s">
        <v>557</v>
      </c>
      <c r="E29" s="73">
        <v>1478000</v>
      </c>
      <c r="F29" s="73">
        <v>1688000</v>
      </c>
      <c r="G29" s="73">
        <v>2110000</v>
      </c>
      <c r="H29" s="73">
        <v>1943000</v>
      </c>
      <c r="I29" s="73">
        <v>2404000</v>
      </c>
      <c r="J29" s="73">
        <v>2567000</v>
      </c>
      <c r="K29" s="73">
        <v>2917000</v>
      </c>
      <c r="L29" s="73">
        <v>3751000</v>
      </c>
      <c r="M29" s="73">
        <v>3129000</v>
      </c>
      <c r="N29" s="73">
        <v>4279000</v>
      </c>
      <c r="O29" s="73">
        <v>3896000</v>
      </c>
      <c r="P29" s="73">
        <v>4853000</v>
      </c>
      <c r="Q29" s="73">
        <v>5347000</v>
      </c>
      <c r="R29" s="73">
        <v>5396000</v>
      </c>
      <c r="S29" s="73">
        <v>7108000</v>
      </c>
      <c r="T29" s="73">
        <v>5813000</v>
      </c>
      <c r="U29" s="73">
        <v>6203000</v>
      </c>
      <c r="V29" s="73">
        <v>5828214</v>
      </c>
      <c r="W29" s="73">
        <v>6892216</v>
      </c>
      <c r="X29" s="73">
        <v>4625404</v>
      </c>
      <c r="Y29" s="73">
        <v>5506715</v>
      </c>
      <c r="Z29" s="73">
        <v>6962413</v>
      </c>
      <c r="AA29" s="73">
        <v>8141618</v>
      </c>
      <c r="AB29" s="73">
        <v>8812497</v>
      </c>
      <c r="AC29" s="73">
        <v>9292917</v>
      </c>
      <c r="AD29" s="73">
        <v>8294681</v>
      </c>
      <c r="AE29" s="73">
        <v>11216265</v>
      </c>
      <c r="AF29" s="73">
        <v>11587160</v>
      </c>
      <c r="AG29" s="73">
        <v>11069749</v>
      </c>
      <c r="AH29" s="73">
        <v>21322427</v>
      </c>
      <c r="AI29" s="73">
        <v>21081899</v>
      </c>
      <c r="AJ29" s="73">
        <v>10411536</v>
      </c>
      <c r="AK29" s="73">
        <v>9970053</v>
      </c>
      <c r="AL29" s="73">
        <v>11002386</v>
      </c>
      <c r="AM29" s="73">
        <v>10084245</v>
      </c>
      <c r="AN29" s="73">
        <v>18245635</v>
      </c>
      <c r="AO29" s="73">
        <v>10636974</v>
      </c>
      <c r="AP29" s="73">
        <v>12042593</v>
      </c>
      <c r="AQ29" s="73">
        <v>10627500</v>
      </c>
      <c r="AR29" s="73">
        <v>19460577</v>
      </c>
      <c r="AS29" s="73">
        <v>13544115</v>
      </c>
      <c r="AT29" s="73">
        <v>31944312</v>
      </c>
      <c r="AU29" s="73">
        <v>17207425</v>
      </c>
      <c r="AV29">
        <v>33009897</v>
      </c>
      <c r="AW29">
        <v>40137347</v>
      </c>
      <c r="AX29">
        <v>31801344</v>
      </c>
    </row>
    <row r="30" spans="1:50" ht="14.5" x14ac:dyDescent="0.35">
      <c r="A30" s="72" t="s">
        <v>59</v>
      </c>
      <c r="B30" s="72" t="str">
        <f>VLOOKUP(Tabelle_Abfrage_von_MS_Access_Database3[[#This Row],[LAND]],Texte!$A$4:$C$261,Texte!$A$1+1,FALSE)</f>
        <v>San Marino</v>
      </c>
      <c r="C30" s="72" t="s">
        <v>525</v>
      </c>
      <c r="D30" s="72" t="s">
        <v>557</v>
      </c>
      <c r="E30" s="73">
        <v>0</v>
      </c>
      <c r="F30" s="73">
        <v>0</v>
      </c>
      <c r="G30" s="73">
        <v>0</v>
      </c>
      <c r="H30" s="73">
        <v>0</v>
      </c>
      <c r="I30" s="73">
        <v>0</v>
      </c>
      <c r="J30" s="73">
        <v>0</v>
      </c>
      <c r="K30" s="73">
        <v>0</v>
      </c>
      <c r="L30" s="73">
        <v>0</v>
      </c>
      <c r="M30" s="73">
        <v>0</v>
      </c>
      <c r="N30" s="73">
        <v>0</v>
      </c>
      <c r="O30" s="73">
        <v>0</v>
      </c>
      <c r="P30" s="73">
        <v>0</v>
      </c>
      <c r="Q30" s="73">
        <v>0</v>
      </c>
      <c r="R30" s="73">
        <v>0</v>
      </c>
      <c r="S30" s="73">
        <v>0</v>
      </c>
      <c r="T30" s="73">
        <v>0</v>
      </c>
      <c r="U30" s="73">
        <v>0</v>
      </c>
      <c r="V30" s="73">
        <v>1237028</v>
      </c>
      <c r="W30" s="73">
        <v>827598</v>
      </c>
      <c r="X30" s="73">
        <v>1494586</v>
      </c>
      <c r="Y30" s="73">
        <v>1329115</v>
      </c>
      <c r="Z30" s="73">
        <v>833412</v>
      </c>
      <c r="AA30" s="73">
        <v>1438776</v>
      </c>
      <c r="AB30" s="73">
        <v>1744305</v>
      </c>
      <c r="AC30" s="73">
        <v>861144</v>
      </c>
      <c r="AD30" s="73">
        <v>750698</v>
      </c>
      <c r="AE30" s="73">
        <v>870470</v>
      </c>
      <c r="AF30" s="73">
        <v>1206074</v>
      </c>
      <c r="AG30" s="73">
        <v>1272737</v>
      </c>
      <c r="AH30" s="73">
        <v>6766700</v>
      </c>
      <c r="AI30" s="73">
        <v>11060754</v>
      </c>
      <c r="AJ30" s="73">
        <v>7764295</v>
      </c>
      <c r="AK30" s="73">
        <v>23078309</v>
      </c>
      <c r="AL30" s="73">
        <v>18530884</v>
      </c>
      <c r="AM30" s="73">
        <v>11484537</v>
      </c>
      <c r="AN30" s="73">
        <v>10772615</v>
      </c>
      <c r="AO30" s="73">
        <v>11925626</v>
      </c>
      <c r="AP30" s="73">
        <v>14439330</v>
      </c>
      <c r="AQ30" s="73">
        <v>15550122</v>
      </c>
      <c r="AR30" s="73">
        <v>9753684</v>
      </c>
      <c r="AS30" s="73">
        <v>8931288</v>
      </c>
      <c r="AT30" s="73">
        <v>7497270</v>
      </c>
      <c r="AU30" s="73">
        <v>6941496</v>
      </c>
      <c r="AV30">
        <v>12826452</v>
      </c>
      <c r="AW30">
        <v>27674184</v>
      </c>
      <c r="AX30">
        <v>20614438</v>
      </c>
    </row>
    <row r="31" spans="1:50" ht="14.5" x14ac:dyDescent="0.35">
      <c r="A31" s="72" t="s">
        <v>61</v>
      </c>
      <c r="B31" s="72" t="str">
        <f>VLOOKUP(Tabelle_Abfrage_von_MS_Access_Database3[[#This Row],[LAND]],Texte!$A$4:$C$261,Texte!$A$1+1,FALSE)</f>
        <v>Türkei</v>
      </c>
      <c r="C31" s="72" t="s">
        <v>508</v>
      </c>
      <c r="D31" s="72" t="s">
        <v>557</v>
      </c>
      <c r="E31" s="73">
        <v>57180000</v>
      </c>
      <c r="F31" s="73">
        <v>57773000</v>
      </c>
      <c r="G31" s="73">
        <v>57162000</v>
      </c>
      <c r="H31" s="73">
        <v>69521000</v>
      </c>
      <c r="I31" s="73">
        <v>66849000</v>
      </c>
      <c r="J31" s="73">
        <v>75210000</v>
      </c>
      <c r="K31" s="73">
        <v>91824000</v>
      </c>
      <c r="L31" s="73">
        <v>109215000</v>
      </c>
      <c r="M31" s="73">
        <v>110295000</v>
      </c>
      <c r="N31" s="73">
        <v>112205000</v>
      </c>
      <c r="O31" s="73">
        <v>133989000</v>
      </c>
      <c r="P31" s="73">
        <v>162582000</v>
      </c>
      <c r="Q31" s="73">
        <v>169632000</v>
      </c>
      <c r="R31" s="73">
        <v>184376000</v>
      </c>
      <c r="S31" s="73">
        <v>189928000</v>
      </c>
      <c r="T31" s="73">
        <v>210369000</v>
      </c>
      <c r="U31" s="73">
        <v>242227000</v>
      </c>
      <c r="V31" s="73">
        <v>256772218</v>
      </c>
      <c r="W31" s="73">
        <v>288498266</v>
      </c>
      <c r="X31" s="73">
        <v>348563116</v>
      </c>
      <c r="Y31" s="73">
        <v>368511926</v>
      </c>
      <c r="Z31" s="73">
        <v>409591435</v>
      </c>
      <c r="AA31" s="73">
        <v>445197410</v>
      </c>
      <c r="AB31" s="73">
        <v>521652397</v>
      </c>
      <c r="AC31" s="73">
        <v>613693393</v>
      </c>
      <c r="AD31" s="73">
        <v>699846396</v>
      </c>
      <c r="AE31" s="73">
        <v>744274931</v>
      </c>
      <c r="AF31" s="73">
        <v>808808057</v>
      </c>
      <c r="AG31" s="73">
        <v>799284610</v>
      </c>
      <c r="AH31" s="73">
        <v>861687205</v>
      </c>
      <c r="AI31" s="73">
        <v>909455695</v>
      </c>
      <c r="AJ31" s="73">
        <v>794847275</v>
      </c>
      <c r="AK31" s="73">
        <v>883974428</v>
      </c>
      <c r="AL31" s="73">
        <v>1042389401</v>
      </c>
      <c r="AM31" s="73">
        <v>1092406741</v>
      </c>
      <c r="AN31" s="73">
        <v>1198587525</v>
      </c>
      <c r="AO31" s="73">
        <v>1285435434</v>
      </c>
      <c r="AP31" s="73">
        <v>1462231290</v>
      </c>
      <c r="AQ31" s="73">
        <v>1554395323</v>
      </c>
      <c r="AR31" s="73">
        <v>1541511893</v>
      </c>
      <c r="AS31" s="73">
        <v>1673196351</v>
      </c>
      <c r="AT31" s="73">
        <v>1762205298</v>
      </c>
      <c r="AU31" s="73">
        <v>1760705782</v>
      </c>
      <c r="AV31">
        <v>2239311506</v>
      </c>
      <c r="AW31">
        <v>2815587064</v>
      </c>
      <c r="AX31">
        <v>2803365254</v>
      </c>
    </row>
    <row r="32" spans="1:50" ht="14.5" x14ac:dyDescent="0.35">
      <c r="A32" s="72" t="s">
        <v>63</v>
      </c>
      <c r="B32" s="72" t="str">
        <f>VLOOKUP(Tabelle_Abfrage_von_MS_Access_Database3[[#This Row],[LAND]],Texte!$A$4:$C$261,Texte!$A$1+1,FALSE)</f>
        <v>Estland</v>
      </c>
      <c r="C32" s="72" t="s">
        <v>522</v>
      </c>
      <c r="D32" s="72" t="s">
        <v>557</v>
      </c>
      <c r="E32" s="73">
        <v>0</v>
      </c>
      <c r="F32" s="73">
        <v>0</v>
      </c>
      <c r="G32" s="73">
        <v>0</v>
      </c>
      <c r="H32" s="73">
        <v>0</v>
      </c>
      <c r="I32" s="73">
        <v>0</v>
      </c>
      <c r="J32" s="73">
        <v>0</v>
      </c>
      <c r="K32" s="73">
        <v>0</v>
      </c>
      <c r="L32" s="73">
        <v>0</v>
      </c>
      <c r="M32" s="73">
        <v>0</v>
      </c>
      <c r="N32" s="73">
        <v>0</v>
      </c>
      <c r="O32" s="73">
        <v>0</v>
      </c>
      <c r="P32" s="73">
        <v>0</v>
      </c>
      <c r="Q32" s="73">
        <v>0</v>
      </c>
      <c r="R32" s="73">
        <v>0</v>
      </c>
      <c r="S32" s="73">
        <v>1940000</v>
      </c>
      <c r="T32" s="73">
        <v>2411000</v>
      </c>
      <c r="U32" s="73">
        <v>4198000</v>
      </c>
      <c r="V32" s="73">
        <v>3733344</v>
      </c>
      <c r="W32" s="73">
        <v>4649391</v>
      </c>
      <c r="X32" s="73">
        <v>7166123</v>
      </c>
      <c r="Y32" s="73">
        <v>12158230</v>
      </c>
      <c r="Z32" s="73">
        <v>15299946</v>
      </c>
      <c r="AA32" s="73">
        <v>21406142</v>
      </c>
      <c r="AB32" s="73">
        <v>20029190</v>
      </c>
      <c r="AC32" s="73">
        <v>22284294</v>
      </c>
      <c r="AD32" s="73">
        <v>37362827</v>
      </c>
      <c r="AE32" s="73">
        <v>38742991</v>
      </c>
      <c r="AF32" s="73">
        <v>28977150</v>
      </c>
      <c r="AG32" s="73">
        <v>30209738</v>
      </c>
      <c r="AH32" s="73">
        <v>31293916</v>
      </c>
      <c r="AI32" s="73">
        <v>36389064</v>
      </c>
      <c r="AJ32" s="73">
        <v>36797573</v>
      </c>
      <c r="AK32" s="73">
        <v>36238761</v>
      </c>
      <c r="AL32" s="73">
        <v>48015306</v>
      </c>
      <c r="AM32" s="73">
        <v>40434322</v>
      </c>
      <c r="AN32" s="73">
        <v>33125301</v>
      </c>
      <c r="AO32" s="73">
        <v>34434169</v>
      </c>
      <c r="AP32" s="73">
        <v>48279280</v>
      </c>
      <c r="AQ32" s="73">
        <v>42605103</v>
      </c>
      <c r="AR32" s="73">
        <v>50066303</v>
      </c>
      <c r="AS32" s="73">
        <v>54183907</v>
      </c>
      <c r="AT32" s="73">
        <v>60817070</v>
      </c>
      <c r="AU32" s="73">
        <v>85295351</v>
      </c>
      <c r="AV32">
        <v>89043554</v>
      </c>
      <c r="AW32">
        <v>91655130</v>
      </c>
      <c r="AX32">
        <v>65724651</v>
      </c>
    </row>
    <row r="33" spans="1:50" ht="14.5" x14ac:dyDescent="0.35">
      <c r="A33" s="72" t="s">
        <v>65</v>
      </c>
      <c r="B33" s="72" t="str">
        <f>VLOOKUP(Tabelle_Abfrage_von_MS_Access_Database3[[#This Row],[LAND]],Texte!$A$4:$C$261,Texte!$A$1+1,FALSE)</f>
        <v>Lettland</v>
      </c>
      <c r="C33" s="72" t="s">
        <v>522</v>
      </c>
      <c r="D33" s="72" t="s">
        <v>557</v>
      </c>
      <c r="E33" s="73">
        <v>0</v>
      </c>
      <c r="F33" s="73">
        <v>0</v>
      </c>
      <c r="G33" s="73">
        <v>0</v>
      </c>
      <c r="H33" s="73">
        <v>0</v>
      </c>
      <c r="I33" s="73">
        <v>0</v>
      </c>
      <c r="J33" s="73">
        <v>0</v>
      </c>
      <c r="K33" s="73">
        <v>0</v>
      </c>
      <c r="L33" s="73">
        <v>0</v>
      </c>
      <c r="M33" s="73">
        <v>0</v>
      </c>
      <c r="N33" s="73">
        <v>0</v>
      </c>
      <c r="O33" s="73">
        <v>0</v>
      </c>
      <c r="P33" s="73">
        <v>0</v>
      </c>
      <c r="Q33" s="73">
        <v>0</v>
      </c>
      <c r="R33" s="73">
        <v>0</v>
      </c>
      <c r="S33" s="73">
        <v>2683000</v>
      </c>
      <c r="T33" s="73">
        <v>3686000</v>
      </c>
      <c r="U33" s="73">
        <v>3000000</v>
      </c>
      <c r="V33" s="73">
        <v>4199325</v>
      </c>
      <c r="W33" s="73">
        <v>4967188</v>
      </c>
      <c r="X33" s="73">
        <v>9405748</v>
      </c>
      <c r="Y33" s="73">
        <v>10784358</v>
      </c>
      <c r="Z33" s="73">
        <v>14010162</v>
      </c>
      <c r="AA33" s="73">
        <v>17024696</v>
      </c>
      <c r="AB33" s="73">
        <v>20291536</v>
      </c>
      <c r="AC33" s="73">
        <v>20167142</v>
      </c>
      <c r="AD33" s="73">
        <v>19004680</v>
      </c>
      <c r="AE33" s="73">
        <v>21860846</v>
      </c>
      <c r="AF33" s="73">
        <v>21081845</v>
      </c>
      <c r="AG33" s="73">
        <v>22198077</v>
      </c>
      <c r="AH33" s="73">
        <v>31002824</v>
      </c>
      <c r="AI33" s="73">
        <v>25192491</v>
      </c>
      <c r="AJ33" s="73">
        <v>31423898</v>
      </c>
      <c r="AK33" s="73">
        <v>23574920</v>
      </c>
      <c r="AL33" s="73">
        <v>25272655</v>
      </c>
      <c r="AM33" s="73">
        <v>23709234</v>
      </c>
      <c r="AN33" s="73">
        <v>29219126</v>
      </c>
      <c r="AO33" s="73">
        <v>28499778</v>
      </c>
      <c r="AP33" s="73">
        <v>33305555</v>
      </c>
      <c r="AQ33" s="73">
        <v>31486627</v>
      </c>
      <c r="AR33" s="73">
        <v>37931806</v>
      </c>
      <c r="AS33" s="73">
        <v>55286988</v>
      </c>
      <c r="AT33" s="73">
        <v>57897737</v>
      </c>
      <c r="AU33" s="73">
        <v>60606267</v>
      </c>
      <c r="AV33">
        <v>74880893</v>
      </c>
      <c r="AW33">
        <v>74496141</v>
      </c>
      <c r="AX33">
        <v>77301622</v>
      </c>
    </row>
    <row r="34" spans="1:50" ht="14.5" x14ac:dyDescent="0.35">
      <c r="A34" s="72" t="s">
        <v>67</v>
      </c>
      <c r="B34" s="72" t="str">
        <f>VLOOKUP(Tabelle_Abfrage_von_MS_Access_Database3[[#This Row],[LAND]],Texte!$A$4:$C$261,Texte!$A$1+1,FALSE)</f>
        <v>Litauen</v>
      </c>
      <c r="C34" s="72" t="s">
        <v>522</v>
      </c>
      <c r="D34" s="72" t="s">
        <v>557</v>
      </c>
      <c r="E34" s="73">
        <v>0</v>
      </c>
      <c r="F34" s="73">
        <v>0</v>
      </c>
      <c r="G34" s="73">
        <v>0</v>
      </c>
      <c r="H34" s="73">
        <v>0</v>
      </c>
      <c r="I34" s="73">
        <v>0</v>
      </c>
      <c r="J34" s="73">
        <v>0</v>
      </c>
      <c r="K34" s="73">
        <v>0</v>
      </c>
      <c r="L34" s="73">
        <v>0</v>
      </c>
      <c r="M34" s="73">
        <v>0</v>
      </c>
      <c r="N34" s="73">
        <v>0</v>
      </c>
      <c r="O34" s="73">
        <v>0</v>
      </c>
      <c r="P34" s="73">
        <v>0</v>
      </c>
      <c r="Q34" s="73">
        <v>0</v>
      </c>
      <c r="R34" s="73">
        <v>0</v>
      </c>
      <c r="S34" s="73">
        <v>2581000</v>
      </c>
      <c r="T34" s="73">
        <v>3828000</v>
      </c>
      <c r="U34" s="73">
        <v>4758000</v>
      </c>
      <c r="V34" s="73">
        <v>13563950</v>
      </c>
      <c r="W34" s="73">
        <v>19105183</v>
      </c>
      <c r="X34" s="73">
        <v>23061987</v>
      </c>
      <c r="Y34" s="73">
        <v>28120322</v>
      </c>
      <c r="Z34" s="73">
        <v>34068735</v>
      </c>
      <c r="AA34" s="73">
        <v>27288509</v>
      </c>
      <c r="AB34" s="73">
        <v>28430846</v>
      </c>
      <c r="AC34" s="73">
        <v>27600128</v>
      </c>
      <c r="AD34" s="73">
        <v>31972126</v>
      </c>
      <c r="AE34" s="73">
        <v>35159581</v>
      </c>
      <c r="AF34" s="73">
        <v>36428780</v>
      </c>
      <c r="AG34" s="73">
        <v>43625735</v>
      </c>
      <c r="AH34" s="73">
        <v>56643529</v>
      </c>
      <c r="AI34" s="73">
        <v>57956635</v>
      </c>
      <c r="AJ34" s="73">
        <v>53984569</v>
      </c>
      <c r="AK34" s="73">
        <v>62963622</v>
      </c>
      <c r="AL34" s="73">
        <v>68950976</v>
      </c>
      <c r="AM34" s="73">
        <v>74120983</v>
      </c>
      <c r="AN34" s="73">
        <v>84134840</v>
      </c>
      <c r="AO34" s="73">
        <v>87483614</v>
      </c>
      <c r="AP34" s="73">
        <v>92929803</v>
      </c>
      <c r="AQ34" s="73">
        <v>112242173</v>
      </c>
      <c r="AR34" s="73">
        <v>133031839</v>
      </c>
      <c r="AS34" s="73">
        <v>152908157</v>
      </c>
      <c r="AT34" s="73">
        <v>204402602</v>
      </c>
      <c r="AU34" s="73">
        <v>275681744</v>
      </c>
      <c r="AV34">
        <v>337672398</v>
      </c>
      <c r="AW34">
        <v>358482352</v>
      </c>
      <c r="AX34">
        <v>295836363</v>
      </c>
    </row>
    <row r="35" spans="1:50" ht="14.5" x14ac:dyDescent="0.35">
      <c r="A35" s="72" t="s">
        <v>69</v>
      </c>
      <c r="B35" s="72" t="str">
        <f>VLOOKUP(Tabelle_Abfrage_von_MS_Access_Database3[[#This Row],[LAND]],Texte!$A$4:$C$261,Texte!$A$1+1,FALSE)</f>
        <v>Polen</v>
      </c>
      <c r="C35" s="72" t="s">
        <v>508</v>
      </c>
      <c r="D35" s="72" t="s">
        <v>557</v>
      </c>
      <c r="E35" s="73">
        <v>157879000</v>
      </c>
      <c r="F35" s="73">
        <v>195985000</v>
      </c>
      <c r="G35" s="73">
        <v>225674000</v>
      </c>
      <c r="H35" s="73">
        <v>189156000</v>
      </c>
      <c r="I35" s="73">
        <v>232563000</v>
      </c>
      <c r="J35" s="73">
        <v>258829000</v>
      </c>
      <c r="K35" s="73">
        <v>365933000</v>
      </c>
      <c r="L35" s="73">
        <v>346895000</v>
      </c>
      <c r="M35" s="73">
        <v>315503000</v>
      </c>
      <c r="N35" s="73">
        <v>291935000</v>
      </c>
      <c r="O35" s="73">
        <v>307944000</v>
      </c>
      <c r="P35" s="73">
        <v>316174000</v>
      </c>
      <c r="Q35" s="73">
        <v>364178000</v>
      </c>
      <c r="R35" s="73">
        <v>410871000</v>
      </c>
      <c r="S35" s="73">
        <v>364138000</v>
      </c>
      <c r="T35" s="73">
        <v>340021000</v>
      </c>
      <c r="U35" s="73">
        <v>375378000</v>
      </c>
      <c r="V35" s="73">
        <v>463104939</v>
      </c>
      <c r="W35" s="73">
        <v>411564272</v>
      </c>
      <c r="X35" s="73">
        <v>512302761</v>
      </c>
      <c r="Y35" s="73">
        <v>586648903</v>
      </c>
      <c r="Z35" s="73">
        <v>594374608</v>
      </c>
      <c r="AA35" s="73">
        <v>756900058</v>
      </c>
      <c r="AB35" s="73">
        <v>938292640</v>
      </c>
      <c r="AC35" s="73">
        <v>926137751</v>
      </c>
      <c r="AD35" s="73">
        <v>979662097</v>
      </c>
      <c r="AE35" s="73">
        <v>1111635979</v>
      </c>
      <c r="AF35" s="73">
        <v>1488915060</v>
      </c>
      <c r="AG35" s="73">
        <v>1616829251</v>
      </c>
      <c r="AH35" s="73">
        <v>1820158845</v>
      </c>
      <c r="AI35" s="73">
        <v>2144664347</v>
      </c>
      <c r="AJ35" s="73">
        <v>1560095669</v>
      </c>
      <c r="AK35" s="73">
        <v>1895871390</v>
      </c>
      <c r="AL35" s="73">
        <v>2433118315</v>
      </c>
      <c r="AM35" s="73">
        <v>2643095887</v>
      </c>
      <c r="AN35" s="73">
        <v>2581561593</v>
      </c>
      <c r="AO35" s="73">
        <v>2569482408</v>
      </c>
      <c r="AP35" s="73">
        <v>2985415811</v>
      </c>
      <c r="AQ35" s="73">
        <v>3334969519</v>
      </c>
      <c r="AR35" s="73">
        <v>3804950700</v>
      </c>
      <c r="AS35" s="73">
        <v>4196147617</v>
      </c>
      <c r="AT35" s="73">
        <v>4656904981</v>
      </c>
      <c r="AU35" s="73">
        <v>4499087861</v>
      </c>
      <c r="AV35">
        <v>5770288400</v>
      </c>
      <c r="AW35">
        <v>7027344957</v>
      </c>
      <c r="AX35">
        <v>6646616093</v>
      </c>
    </row>
    <row r="36" spans="1:50" ht="14.5" x14ac:dyDescent="0.35">
      <c r="A36" s="72" t="s">
        <v>71</v>
      </c>
      <c r="B36" s="72" t="str">
        <f>VLOOKUP(Tabelle_Abfrage_von_MS_Access_Database3[[#This Row],[LAND]],Texte!$A$4:$C$261,Texte!$A$1+1,FALSE)</f>
        <v>Tschechische Republik</v>
      </c>
      <c r="C36" s="72" t="s">
        <v>523</v>
      </c>
      <c r="D36" s="72" t="s">
        <v>557</v>
      </c>
      <c r="E36" s="73">
        <v>0</v>
      </c>
      <c r="F36" s="73">
        <v>0</v>
      </c>
      <c r="G36" s="73">
        <v>0</v>
      </c>
      <c r="H36" s="73">
        <v>0</v>
      </c>
      <c r="I36" s="73">
        <v>0</v>
      </c>
      <c r="J36" s="73">
        <v>0</v>
      </c>
      <c r="K36" s="73">
        <v>0</v>
      </c>
      <c r="L36" s="73">
        <v>0</v>
      </c>
      <c r="M36" s="73">
        <v>0</v>
      </c>
      <c r="N36" s="73">
        <v>0</v>
      </c>
      <c r="O36" s="73">
        <v>0</v>
      </c>
      <c r="P36" s="73">
        <v>0</v>
      </c>
      <c r="Q36" s="73">
        <v>0</v>
      </c>
      <c r="R36" s="73">
        <v>0</v>
      </c>
      <c r="S36" s="73">
        <v>0</v>
      </c>
      <c r="T36" s="73">
        <v>663575000</v>
      </c>
      <c r="U36" s="73">
        <v>820458000</v>
      </c>
      <c r="V36" s="73">
        <v>917810994</v>
      </c>
      <c r="W36" s="73">
        <v>1043844069</v>
      </c>
      <c r="X36" s="73">
        <v>1277688988</v>
      </c>
      <c r="Y36" s="73">
        <v>1448723329</v>
      </c>
      <c r="Z36" s="73">
        <v>1625587585</v>
      </c>
      <c r="AA36" s="73">
        <v>1921120140</v>
      </c>
      <c r="AB36" s="73">
        <v>2118887625</v>
      </c>
      <c r="AC36" s="73">
        <v>2235792680</v>
      </c>
      <c r="AD36" s="73">
        <v>2631366704</v>
      </c>
      <c r="AE36" s="73">
        <v>2886097237</v>
      </c>
      <c r="AF36" s="73">
        <v>3189198779</v>
      </c>
      <c r="AG36" s="73">
        <v>3354315424</v>
      </c>
      <c r="AH36" s="73">
        <v>3638394346</v>
      </c>
      <c r="AI36" s="73">
        <v>4237270693</v>
      </c>
      <c r="AJ36" s="73">
        <v>3382444550</v>
      </c>
      <c r="AK36" s="73">
        <v>4186430657</v>
      </c>
      <c r="AL36" s="73">
        <v>4879005163</v>
      </c>
      <c r="AM36" s="73">
        <v>4894193358</v>
      </c>
      <c r="AN36" s="73">
        <v>5263671277</v>
      </c>
      <c r="AO36" s="73">
        <v>5405234451</v>
      </c>
      <c r="AP36" s="73">
        <v>5577272225</v>
      </c>
      <c r="AQ36" s="73">
        <v>5865777760</v>
      </c>
      <c r="AR36" s="73">
        <v>6349910407</v>
      </c>
      <c r="AS36" s="73">
        <v>6788972953</v>
      </c>
      <c r="AT36" s="73">
        <v>6628232990</v>
      </c>
      <c r="AU36" s="73">
        <v>6014312770</v>
      </c>
      <c r="AV36">
        <v>7761996066</v>
      </c>
      <c r="AW36">
        <v>9819273666</v>
      </c>
      <c r="AX36">
        <v>8327011939</v>
      </c>
    </row>
    <row r="37" spans="1:50" ht="14.5" x14ac:dyDescent="0.35">
      <c r="A37" s="72" t="s">
        <v>73</v>
      </c>
      <c r="B37" s="72" t="str">
        <f>VLOOKUP(Tabelle_Abfrage_von_MS_Access_Database3[[#This Row],[LAND]],Texte!$A$4:$C$261,Texte!$A$1+1,FALSE)</f>
        <v>Slowakei</v>
      </c>
      <c r="C37" s="72" t="s">
        <v>523</v>
      </c>
      <c r="D37" s="72" t="s">
        <v>557</v>
      </c>
      <c r="E37" s="73">
        <v>0</v>
      </c>
      <c r="F37" s="73">
        <v>0</v>
      </c>
      <c r="G37" s="73">
        <v>0</v>
      </c>
      <c r="H37" s="73">
        <v>0</v>
      </c>
      <c r="I37" s="73">
        <v>0</v>
      </c>
      <c r="J37" s="73">
        <v>0</v>
      </c>
      <c r="K37" s="73">
        <v>0</v>
      </c>
      <c r="L37" s="73">
        <v>0</v>
      </c>
      <c r="M37" s="73">
        <v>0</v>
      </c>
      <c r="N37" s="73">
        <v>0</v>
      </c>
      <c r="O37" s="73">
        <v>0</v>
      </c>
      <c r="P37" s="73">
        <v>0</v>
      </c>
      <c r="Q37" s="73">
        <v>0</v>
      </c>
      <c r="R37" s="73">
        <v>0</v>
      </c>
      <c r="S37" s="73">
        <v>0</v>
      </c>
      <c r="T37" s="73">
        <v>228432000</v>
      </c>
      <c r="U37" s="73">
        <v>299885000</v>
      </c>
      <c r="V37" s="73">
        <v>383837650</v>
      </c>
      <c r="W37" s="73">
        <v>475191540</v>
      </c>
      <c r="X37" s="73">
        <v>588403020</v>
      </c>
      <c r="Y37" s="73">
        <v>657246785</v>
      </c>
      <c r="Z37" s="73">
        <v>764324309</v>
      </c>
      <c r="AA37" s="73">
        <v>1042348574</v>
      </c>
      <c r="AB37" s="73">
        <v>1113071815</v>
      </c>
      <c r="AC37" s="73">
        <v>1199781822</v>
      </c>
      <c r="AD37" s="73">
        <v>1421513264</v>
      </c>
      <c r="AE37" s="73">
        <v>1813984138</v>
      </c>
      <c r="AF37" s="73">
        <v>1696278847</v>
      </c>
      <c r="AG37" s="73">
        <v>1788218518</v>
      </c>
      <c r="AH37" s="73">
        <v>2326183870</v>
      </c>
      <c r="AI37" s="73">
        <v>2388370056</v>
      </c>
      <c r="AJ37" s="73">
        <v>1948469431</v>
      </c>
      <c r="AK37" s="73">
        <v>2629861124</v>
      </c>
      <c r="AL37" s="73">
        <v>3240112976</v>
      </c>
      <c r="AM37" s="73">
        <v>3178786400</v>
      </c>
      <c r="AN37" s="73">
        <v>3024617058</v>
      </c>
      <c r="AO37" s="73">
        <v>2866912638</v>
      </c>
      <c r="AP37" s="73">
        <v>2967916060</v>
      </c>
      <c r="AQ37" s="73">
        <v>2964446309</v>
      </c>
      <c r="AR37" s="73">
        <v>3027477822</v>
      </c>
      <c r="AS37" s="73">
        <v>3498976724</v>
      </c>
      <c r="AT37" s="73">
        <v>3281907065</v>
      </c>
      <c r="AU37" s="73">
        <v>2910133433</v>
      </c>
      <c r="AV37">
        <v>3585712991</v>
      </c>
      <c r="AW37">
        <v>3795481938</v>
      </c>
      <c r="AX37">
        <v>3409528484</v>
      </c>
    </row>
    <row r="38" spans="1:50" ht="14.5" x14ac:dyDescent="0.35">
      <c r="A38" s="72" t="s">
        <v>75</v>
      </c>
      <c r="B38" s="72" t="str">
        <f>VLOOKUP(Tabelle_Abfrage_von_MS_Access_Database3[[#This Row],[LAND]],Texte!$A$4:$C$261,Texte!$A$1+1,FALSE)</f>
        <v>Ungarn</v>
      </c>
      <c r="C38" s="72" t="s">
        <v>508</v>
      </c>
      <c r="D38" s="72" t="s">
        <v>557</v>
      </c>
      <c r="E38" s="73">
        <v>192588000</v>
      </c>
      <c r="F38" s="73">
        <v>232654000</v>
      </c>
      <c r="G38" s="73">
        <v>316666000</v>
      </c>
      <c r="H38" s="73">
        <v>365980000</v>
      </c>
      <c r="I38" s="73">
        <v>345824000</v>
      </c>
      <c r="J38" s="73">
        <v>430954000</v>
      </c>
      <c r="K38" s="73">
        <v>589441000</v>
      </c>
      <c r="L38" s="73">
        <v>617860000</v>
      </c>
      <c r="M38" s="73">
        <v>483104000</v>
      </c>
      <c r="N38" s="73">
        <v>448977000</v>
      </c>
      <c r="O38" s="73">
        <v>462771000</v>
      </c>
      <c r="P38" s="73">
        <v>569709000</v>
      </c>
      <c r="Q38" s="73">
        <v>634894000</v>
      </c>
      <c r="R38" s="73">
        <v>834338000</v>
      </c>
      <c r="S38" s="73">
        <v>869106000</v>
      </c>
      <c r="T38" s="73">
        <v>786760000</v>
      </c>
      <c r="U38" s="73">
        <v>932413000</v>
      </c>
      <c r="V38" s="73">
        <v>914457152</v>
      </c>
      <c r="W38" s="73">
        <v>1391797873</v>
      </c>
      <c r="X38" s="73">
        <v>1774107980</v>
      </c>
      <c r="Y38" s="73">
        <v>2007890543</v>
      </c>
      <c r="Z38" s="73">
        <v>2176091587</v>
      </c>
      <c r="AA38" s="73">
        <v>2604743294</v>
      </c>
      <c r="AB38" s="73">
        <v>2687964368</v>
      </c>
      <c r="AC38" s="73">
        <v>2556473852</v>
      </c>
      <c r="AD38" s="73">
        <v>2626273558</v>
      </c>
      <c r="AE38" s="73">
        <v>2602850581</v>
      </c>
      <c r="AF38" s="73">
        <v>2463945672</v>
      </c>
      <c r="AG38" s="73">
        <v>2587358624</v>
      </c>
      <c r="AH38" s="73">
        <v>2812298194</v>
      </c>
      <c r="AI38" s="73">
        <v>3228091852</v>
      </c>
      <c r="AJ38" s="73">
        <v>2336609074</v>
      </c>
      <c r="AK38" s="73">
        <v>3131863749</v>
      </c>
      <c r="AL38" s="73">
        <v>3653718856</v>
      </c>
      <c r="AM38" s="73">
        <v>3760685704</v>
      </c>
      <c r="AN38" s="73">
        <v>3728847264</v>
      </c>
      <c r="AO38" s="73">
        <v>3824496729</v>
      </c>
      <c r="AP38" s="73">
        <v>3457234581</v>
      </c>
      <c r="AQ38" s="73">
        <v>3520594395</v>
      </c>
      <c r="AR38" s="73">
        <v>3958488319</v>
      </c>
      <c r="AS38" s="73">
        <v>4191844558</v>
      </c>
      <c r="AT38" s="73">
        <v>4296486726</v>
      </c>
      <c r="AU38" s="73">
        <v>3872241630</v>
      </c>
      <c r="AV38">
        <v>4683836424</v>
      </c>
      <c r="AW38">
        <v>5348323597</v>
      </c>
      <c r="AX38">
        <v>5019084588</v>
      </c>
    </row>
    <row r="39" spans="1:50" ht="14.5" x14ac:dyDescent="0.35">
      <c r="A39" s="72" t="s">
        <v>77</v>
      </c>
      <c r="B39" s="72" t="str">
        <f>VLOOKUP(Tabelle_Abfrage_von_MS_Access_Database3[[#This Row],[LAND]],Texte!$A$4:$C$261,Texte!$A$1+1,FALSE)</f>
        <v>Rumänien</v>
      </c>
      <c r="C39" s="72" t="s">
        <v>508</v>
      </c>
      <c r="D39" s="72" t="s">
        <v>557</v>
      </c>
      <c r="E39" s="73">
        <v>85529000</v>
      </c>
      <c r="F39" s="73">
        <v>82538000</v>
      </c>
      <c r="G39" s="73">
        <v>99745000</v>
      </c>
      <c r="H39" s="73">
        <v>121704000</v>
      </c>
      <c r="I39" s="73">
        <v>94043000</v>
      </c>
      <c r="J39" s="73">
        <v>114254000</v>
      </c>
      <c r="K39" s="73">
        <v>123847000</v>
      </c>
      <c r="L39" s="73">
        <v>116958000</v>
      </c>
      <c r="M39" s="73">
        <v>79281000</v>
      </c>
      <c r="N39" s="73">
        <v>64411000</v>
      </c>
      <c r="O39" s="73">
        <v>61164000</v>
      </c>
      <c r="P39" s="73">
        <v>65284000</v>
      </c>
      <c r="Q39" s="73">
        <v>40781000</v>
      </c>
      <c r="R39" s="73">
        <v>55155000</v>
      </c>
      <c r="S39" s="73">
        <v>71624000</v>
      </c>
      <c r="T39" s="73">
        <v>62169000</v>
      </c>
      <c r="U39" s="73">
        <v>94071000</v>
      </c>
      <c r="V39" s="73">
        <v>106874472</v>
      </c>
      <c r="W39" s="73">
        <v>139246084</v>
      </c>
      <c r="X39" s="73">
        <v>198990803</v>
      </c>
      <c r="Y39" s="73">
        <v>256212272</v>
      </c>
      <c r="Z39" s="73">
        <v>261572772</v>
      </c>
      <c r="AA39" s="73">
        <v>332951156</v>
      </c>
      <c r="AB39" s="73">
        <v>421968757</v>
      </c>
      <c r="AC39" s="73">
        <v>505843571</v>
      </c>
      <c r="AD39" s="73">
        <v>593499274</v>
      </c>
      <c r="AE39" s="73">
        <v>722276930</v>
      </c>
      <c r="AF39" s="73">
        <v>735965523</v>
      </c>
      <c r="AG39" s="73">
        <v>751621284</v>
      </c>
      <c r="AH39" s="73">
        <v>673871227</v>
      </c>
      <c r="AI39" s="73">
        <v>768925763</v>
      </c>
      <c r="AJ39" s="73">
        <v>640058223</v>
      </c>
      <c r="AK39" s="73">
        <v>941493207</v>
      </c>
      <c r="AL39" s="73">
        <v>1117121894</v>
      </c>
      <c r="AM39" s="73">
        <v>1109542484</v>
      </c>
      <c r="AN39" s="73">
        <v>1105017242</v>
      </c>
      <c r="AO39" s="73">
        <v>1210212810</v>
      </c>
      <c r="AP39" s="73">
        <v>1233559170</v>
      </c>
      <c r="AQ39" s="73">
        <v>1263994298</v>
      </c>
      <c r="AR39" s="73">
        <v>1366155691</v>
      </c>
      <c r="AS39" s="73">
        <v>1493463828</v>
      </c>
      <c r="AT39" s="73">
        <v>1520158453</v>
      </c>
      <c r="AU39" s="73">
        <v>1581986305</v>
      </c>
      <c r="AV39">
        <v>2159756369</v>
      </c>
      <c r="AW39">
        <v>2486707907</v>
      </c>
      <c r="AX39">
        <v>2238355211</v>
      </c>
    </row>
    <row r="40" spans="1:50" ht="14.5" x14ac:dyDescent="0.35">
      <c r="A40" s="72" t="s">
        <v>79</v>
      </c>
      <c r="B40" s="72" t="str">
        <f>VLOOKUP(Tabelle_Abfrage_von_MS_Access_Database3[[#This Row],[LAND]],Texte!$A$4:$C$261,Texte!$A$1+1,FALSE)</f>
        <v>Bulgarien</v>
      </c>
      <c r="C40" s="72" t="s">
        <v>508</v>
      </c>
      <c r="D40" s="72" t="s">
        <v>557</v>
      </c>
      <c r="E40" s="73">
        <v>38535000</v>
      </c>
      <c r="F40" s="73">
        <v>38925000</v>
      </c>
      <c r="G40" s="73">
        <v>43160000</v>
      </c>
      <c r="H40" s="73">
        <v>51757000</v>
      </c>
      <c r="I40" s="73">
        <v>41692000</v>
      </c>
      <c r="J40" s="73">
        <v>33987000</v>
      </c>
      <c r="K40" s="73">
        <v>48391000</v>
      </c>
      <c r="L40" s="73">
        <v>55549000</v>
      </c>
      <c r="M40" s="73">
        <v>31468000</v>
      </c>
      <c r="N40" s="73">
        <v>25943000</v>
      </c>
      <c r="O40" s="73">
        <v>25903000</v>
      </c>
      <c r="P40" s="73">
        <v>35200000</v>
      </c>
      <c r="Q40" s="73">
        <v>40242000</v>
      </c>
      <c r="R40" s="73">
        <v>44087000</v>
      </c>
      <c r="S40" s="73">
        <v>50159000</v>
      </c>
      <c r="T40" s="73">
        <v>42023000</v>
      </c>
      <c r="U40" s="73">
        <v>51141000</v>
      </c>
      <c r="V40" s="73">
        <v>45385051</v>
      </c>
      <c r="W40" s="73">
        <v>50667711</v>
      </c>
      <c r="X40" s="73">
        <v>69662495</v>
      </c>
      <c r="Y40" s="73">
        <v>85461423</v>
      </c>
      <c r="Z40" s="73">
        <v>76709805</v>
      </c>
      <c r="AA40" s="73">
        <v>84195194</v>
      </c>
      <c r="AB40" s="73">
        <v>111773581</v>
      </c>
      <c r="AC40" s="73">
        <v>119204374</v>
      </c>
      <c r="AD40" s="73">
        <v>157758042</v>
      </c>
      <c r="AE40" s="73">
        <v>208621210</v>
      </c>
      <c r="AF40" s="73">
        <v>235069952</v>
      </c>
      <c r="AG40" s="73">
        <v>278784635</v>
      </c>
      <c r="AH40" s="73">
        <v>267442338</v>
      </c>
      <c r="AI40" s="73">
        <v>326342426</v>
      </c>
      <c r="AJ40" s="73">
        <v>234411720</v>
      </c>
      <c r="AK40" s="73">
        <v>321931843</v>
      </c>
      <c r="AL40" s="73">
        <v>388220810</v>
      </c>
      <c r="AM40" s="73">
        <v>380381813</v>
      </c>
      <c r="AN40" s="73">
        <v>393880464</v>
      </c>
      <c r="AO40" s="73">
        <v>397601075</v>
      </c>
      <c r="AP40" s="73">
        <v>414083542</v>
      </c>
      <c r="AQ40" s="73">
        <v>464728862</v>
      </c>
      <c r="AR40" s="73">
        <v>522027031</v>
      </c>
      <c r="AS40" s="73">
        <v>519063824</v>
      </c>
      <c r="AT40" s="73">
        <v>529588203</v>
      </c>
      <c r="AU40" s="73">
        <v>500486683</v>
      </c>
      <c r="AV40">
        <v>705179807</v>
      </c>
      <c r="AW40">
        <v>986189002</v>
      </c>
      <c r="AX40">
        <v>929698526</v>
      </c>
    </row>
    <row r="41" spans="1:50" ht="14.5" x14ac:dyDescent="0.35">
      <c r="A41" s="72" t="s">
        <v>81</v>
      </c>
      <c r="B41" s="72" t="str">
        <f>VLOOKUP(Tabelle_Abfrage_von_MS_Access_Database3[[#This Row],[LAND]],Texte!$A$4:$C$261,Texte!$A$1+1,FALSE)</f>
        <v>Albanien</v>
      </c>
      <c r="C41" s="72" t="s">
        <v>508</v>
      </c>
      <c r="D41" s="72" t="s">
        <v>557</v>
      </c>
      <c r="E41" s="73">
        <v>7347000</v>
      </c>
      <c r="F41" s="73">
        <v>4984000</v>
      </c>
      <c r="G41" s="73">
        <v>6314000</v>
      </c>
      <c r="H41" s="73">
        <v>5892000</v>
      </c>
      <c r="I41" s="73">
        <v>12877000</v>
      </c>
      <c r="J41" s="73">
        <v>8371000</v>
      </c>
      <c r="K41" s="73">
        <v>12140000</v>
      </c>
      <c r="L41" s="73">
        <v>9290000</v>
      </c>
      <c r="M41" s="73">
        <v>5943000</v>
      </c>
      <c r="N41" s="73">
        <v>8898000</v>
      </c>
      <c r="O41" s="73">
        <v>14082000</v>
      </c>
      <c r="P41" s="73">
        <v>6681000</v>
      </c>
      <c r="Q41" s="73">
        <v>10773000</v>
      </c>
      <c r="R41" s="73">
        <v>5527000</v>
      </c>
      <c r="S41" s="73">
        <v>1733000</v>
      </c>
      <c r="T41" s="73">
        <v>1058000</v>
      </c>
      <c r="U41" s="73">
        <v>1716000</v>
      </c>
      <c r="V41" s="73">
        <v>1547635</v>
      </c>
      <c r="W41" s="73">
        <v>1985709</v>
      </c>
      <c r="X41" s="73">
        <v>4238062</v>
      </c>
      <c r="Y41" s="73">
        <v>3482554</v>
      </c>
      <c r="Z41" s="73">
        <v>2773777</v>
      </c>
      <c r="AA41" s="73">
        <v>3027114</v>
      </c>
      <c r="AB41" s="73">
        <v>2518310</v>
      </c>
      <c r="AC41" s="73">
        <v>3157127</v>
      </c>
      <c r="AD41" s="73">
        <v>3512460</v>
      </c>
      <c r="AE41" s="73">
        <v>4591189</v>
      </c>
      <c r="AF41" s="73">
        <v>3896536</v>
      </c>
      <c r="AG41" s="73">
        <v>4382225</v>
      </c>
      <c r="AH41" s="73">
        <v>3987592</v>
      </c>
      <c r="AI41" s="73">
        <v>8528838</v>
      </c>
      <c r="AJ41" s="73">
        <v>50883032</v>
      </c>
      <c r="AK41" s="73">
        <v>30517604</v>
      </c>
      <c r="AL41" s="73">
        <v>30240721</v>
      </c>
      <c r="AM41" s="73">
        <v>26674383</v>
      </c>
      <c r="AN41" s="73">
        <v>20388894</v>
      </c>
      <c r="AO41" s="73">
        <v>18424557</v>
      </c>
      <c r="AP41" s="73">
        <v>17814489</v>
      </c>
      <c r="AQ41" s="73">
        <v>14159713</v>
      </c>
      <c r="AR41" s="73">
        <v>21709833</v>
      </c>
      <c r="AS41" s="73">
        <v>27107952</v>
      </c>
      <c r="AT41" s="73">
        <v>33743136</v>
      </c>
      <c r="AU41" s="73">
        <v>27106740</v>
      </c>
      <c r="AV41">
        <v>42608405</v>
      </c>
      <c r="AW41">
        <v>73445226</v>
      </c>
      <c r="AX41">
        <v>64938334</v>
      </c>
    </row>
    <row r="42" spans="1:50" ht="14.5" x14ac:dyDescent="0.35">
      <c r="A42" s="72" t="s">
        <v>83</v>
      </c>
      <c r="B42" s="72" t="str">
        <f>VLOOKUP(Tabelle_Abfrage_von_MS_Access_Database3[[#This Row],[LAND]],Texte!$A$4:$C$261,Texte!$A$1+1,FALSE)</f>
        <v>Ukraine</v>
      </c>
      <c r="C42" s="72" t="s">
        <v>522</v>
      </c>
      <c r="D42" s="72" t="s">
        <v>557</v>
      </c>
      <c r="E42" s="73">
        <v>0</v>
      </c>
      <c r="F42" s="73">
        <v>0</v>
      </c>
      <c r="G42" s="73">
        <v>0</v>
      </c>
      <c r="H42" s="73">
        <v>0</v>
      </c>
      <c r="I42" s="73">
        <v>0</v>
      </c>
      <c r="J42" s="73">
        <v>0</v>
      </c>
      <c r="K42" s="73">
        <v>0</v>
      </c>
      <c r="L42" s="73">
        <v>0</v>
      </c>
      <c r="M42" s="73">
        <v>0</v>
      </c>
      <c r="N42" s="73">
        <v>0</v>
      </c>
      <c r="O42" s="73">
        <v>0</v>
      </c>
      <c r="P42" s="73">
        <v>0</v>
      </c>
      <c r="Q42" s="73">
        <v>0</v>
      </c>
      <c r="R42" s="73">
        <v>0</v>
      </c>
      <c r="S42" s="73">
        <v>70477000</v>
      </c>
      <c r="T42" s="73">
        <v>63803000</v>
      </c>
      <c r="U42" s="73">
        <v>94771000</v>
      </c>
      <c r="V42" s="73">
        <v>90341992</v>
      </c>
      <c r="W42" s="73">
        <v>133801889</v>
      </c>
      <c r="X42" s="73">
        <v>150159734</v>
      </c>
      <c r="Y42" s="73">
        <v>186431968</v>
      </c>
      <c r="Z42" s="73">
        <v>166448826</v>
      </c>
      <c r="AA42" s="73">
        <v>228599592</v>
      </c>
      <c r="AB42" s="73">
        <v>266011381</v>
      </c>
      <c r="AC42" s="73">
        <v>252178798</v>
      </c>
      <c r="AD42" s="73">
        <v>271741854</v>
      </c>
      <c r="AE42" s="73">
        <v>335340650</v>
      </c>
      <c r="AF42" s="73">
        <v>422813274</v>
      </c>
      <c r="AG42" s="73">
        <v>419556961</v>
      </c>
      <c r="AH42" s="73">
        <v>516378045</v>
      </c>
      <c r="AI42" s="73">
        <v>519651715</v>
      </c>
      <c r="AJ42" s="73">
        <v>398966224</v>
      </c>
      <c r="AK42" s="73">
        <v>794584031</v>
      </c>
      <c r="AL42" s="73">
        <v>909161136</v>
      </c>
      <c r="AM42" s="73">
        <v>788121393</v>
      </c>
      <c r="AN42" s="73">
        <v>669221407</v>
      </c>
      <c r="AO42" s="73">
        <v>606585000</v>
      </c>
      <c r="AP42" s="73">
        <v>477188303</v>
      </c>
      <c r="AQ42" s="73">
        <v>491354204</v>
      </c>
      <c r="AR42" s="73">
        <v>655153495</v>
      </c>
      <c r="AS42" s="73">
        <v>681723027</v>
      </c>
      <c r="AT42" s="73">
        <v>790229476</v>
      </c>
      <c r="AU42" s="73">
        <v>829294394</v>
      </c>
      <c r="AV42">
        <v>1049235241</v>
      </c>
      <c r="AW42">
        <v>1176471164</v>
      </c>
      <c r="AX42">
        <v>928713567</v>
      </c>
    </row>
    <row r="43" spans="1:50" ht="14.5" x14ac:dyDescent="0.35">
      <c r="A43" s="72" t="s">
        <v>85</v>
      </c>
      <c r="B43" s="72" t="str">
        <f>VLOOKUP(Tabelle_Abfrage_von_MS_Access_Database3[[#This Row],[LAND]],Texte!$A$4:$C$261,Texte!$A$1+1,FALSE)</f>
        <v>Weißrussland</v>
      </c>
      <c r="C43" s="72" t="s">
        <v>522</v>
      </c>
      <c r="D43" s="72" t="s">
        <v>557</v>
      </c>
      <c r="E43" s="73">
        <v>0</v>
      </c>
      <c r="F43" s="73">
        <v>0</v>
      </c>
      <c r="G43" s="73">
        <v>0</v>
      </c>
      <c r="H43" s="73">
        <v>0</v>
      </c>
      <c r="I43" s="73">
        <v>0</v>
      </c>
      <c r="J43" s="73">
        <v>0</v>
      </c>
      <c r="K43" s="73">
        <v>0</v>
      </c>
      <c r="L43" s="73">
        <v>0</v>
      </c>
      <c r="M43" s="73">
        <v>0</v>
      </c>
      <c r="N43" s="73">
        <v>0</v>
      </c>
      <c r="O43" s="73">
        <v>0</v>
      </c>
      <c r="P43" s="73">
        <v>0</v>
      </c>
      <c r="Q43" s="73">
        <v>0</v>
      </c>
      <c r="R43" s="73">
        <v>0</v>
      </c>
      <c r="S43" s="73">
        <v>648000</v>
      </c>
      <c r="T43" s="73">
        <v>1975000</v>
      </c>
      <c r="U43" s="73">
        <v>6160000</v>
      </c>
      <c r="V43" s="73">
        <v>16721582</v>
      </c>
      <c r="W43" s="73">
        <v>12872465</v>
      </c>
      <c r="X43" s="73">
        <v>15684030</v>
      </c>
      <c r="Y43" s="73">
        <v>23551955</v>
      </c>
      <c r="Z43" s="73">
        <v>19721664</v>
      </c>
      <c r="AA43" s="73">
        <v>18751189</v>
      </c>
      <c r="AB43" s="73">
        <v>15300917</v>
      </c>
      <c r="AC43" s="73">
        <v>13429185</v>
      </c>
      <c r="AD43" s="73">
        <v>18515512</v>
      </c>
      <c r="AE43" s="73">
        <v>18236837</v>
      </c>
      <c r="AF43" s="73">
        <v>18867964</v>
      </c>
      <c r="AG43" s="73">
        <v>26816754</v>
      </c>
      <c r="AH43" s="73">
        <v>52150394</v>
      </c>
      <c r="AI43" s="73">
        <v>53738770</v>
      </c>
      <c r="AJ43" s="73">
        <v>41779273</v>
      </c>
      <c r="AK43" s="73">
        <v>31092275</v>
      </c>
      <c r="AL43" s="73">
        <v>21530143</v>
      </c>
      <c r="AM43" s="73">
        <v>14984075</v>
      </c>
      <c r="AN43" s="73">
        <v>22590724</v>
      </c>
      <c r="AO43" s="73">
        <v>19888276</v>
      </c>
      <c r="AP43" s="73">
        <v>21685321</v>
      </c>
      <c r="AQ43" s="73">
        <v>24357311</v>
      </c>
      <c r="AR43" s="73">
        <v>23070578</v>
      </c>
      <c r="AS43" s="73">
        <v>30025470</v>
      </c>
      <c r="AT43" s="73">
        <v>26753123</v>
      </c>
      <c r="AU43" s="73">
        <v>34363960</v>
      </c>
      <c r="AV43">
        <v>32397531</v>
      </c>
      <c r="AW43">
        <v>19940419</v>
      </c>
      <c r="AX43">
        <v>6372036</v>
      </c>
    </row>
    <row r="44" spans="1:50" ht="14.5" x14ac:dyDescent="0.35">
      <c r="A44" s="72" t="s">
        <v>87</v>
      </c>
      <c r="B44" s="72" t="str">
        <f>VLOOKUP(Tabelle_Abfrage_von_MS_Access_Database3[[#This Row],[LAND]],Texte!$A$4:$C$261,Texte!$A$1+1,FALSE)</f>
        <v>Moldau</v>
      </c>
      <c r="C44" s="72" t="s">
        <v>522</v>
      </c>
      <c r="D44" s="72" t="s">
        <v>557</v>
      </c>
      <c r="E44" s="73">
        <v>0</v>
      </c>
      <c r="F44" s="73">
        <v>0</v>
      </c>
      <c r="G44" s="73">
        <v>0</v>
      </c>
      <c r="H44" s="73">
        <v>0</v>
      </c>
      <c r="I44" s="73">
        <v>0</v>
      </c>
      <c r="J44" s="73">
        <v>0</v>
      </c>
      <c r="K44" s="73">
        <v>0</v>
      </c>
      <c r="L44" s="73">
        <v>0</v>
      </c>
      <c r="M44" s="73">
        <v>0</v>
      </c>
      <c r="N44" s="73">
        <v>0</v>
      </c>
      <c r="O44" s="73">
        <v>0</v>
      </c>
      <c r="P44" s="73">
        <v>0</v>
      </c>
      <c r="Q44" s="73">
        <v>0</v>
      </c>
      <c r="R44" s="73">
        <v>0</v>
      </c>
      <c r="S44" s="73">
        <v>881000</v>
      </c>
      <c r="T44" s="73">
        <v>903000</v>
      </c>
      <c r="U44" s="73">
        <v>1548000</v>
      </c>
      <c r="V44" s="73">
        <v>5111516</v>
      </c>
      <c r="W44" s="73">
        <v>1681937</v>
      </c>
      <c r="X44" s="73">
        <v>4021351</v>
      </c>
      <c r="Y44" s="73">
        <v>8702501</v>
      </c>
      <c r="Z44" s="73">
        <v>15570301</v>
      </c>
      <c r="AA44" s="73">
        <v>12631693</v>
      </c>
      <c r="AB44" s="73">
        <v>11294108</v>
      </c>
      <c r="AC44" s="73">
        <v>7310018</v>
      </c>
      <c r="AD44" s="73">
        <v>12649076</v>
      </c>
      <c r="AE44" s="73">
        <v>11473816</v>
      </c>
      <c r="AF44" s="73">
        <v>14820604</v>
      </c>
      <c r="AG44" s="73">
        <v>18630902</v>
      </c>
      <c r="AH44" s="73">
        <v>27818721</v>
      </c>
      <c r="AI44" s="73">
        <v>17292100</v>
      </c>
      <c r="AJ44" s="73">
        <v>11030534</v>
      </c>
      <c r="AK44" s="73">
        <v>13376204</v>
      </c>
      <c r="AL44" s="73">
        <v>20501460</v>
      </c>
      <c r="AM44" s="73">
        <v>22703815</v>
      </c>
      <c r="AN44" s="73">
        <v>24497769</v>
      </c>
      <c r="AO44" s="73">
        <v>31428506</v>
      </c>
      <c r="AP44" s="73">
        <v>31382268</v>
      </c>
      <c r="AQ44" s="73">
        <v>34056407</v>
      </c>
      <c r="AR44" s="73">
        <v>48296990</v>
      </c>
      <c r="AS44" s="73">
        <v>54081164</v>
      </c>
      <c r="AT44" s="73">
        <v>50534994</v>
      </c>
      <c r="AU44" s="73">
        <v>46311824</v>
      </c>
      <c r="AV44">
        <v>37606552</v>
      </c>
      <c r="AW44">
        <v>49624560</v>
      </c>
      <c r="AX44">
        <v>58561778</v>
      </c>
    </row>
    <row r="45" spans="1:50" ht="14.5" x14ac:dyDescent="0.35">
      <c r="A45" s="72" t="s">
        <v>89</v>
      </c>
      <c r="B45" s="72" t="str">
        <f>VLOOKUP(Tabelle_Abfrage_von_MS_Access_Database3[[#This Row],[LAND]],Texte!$A$4:$C$261,Texte!$A$1+1,FALSE)</f>
        <v>Russland</v>
      </c>
      <c r="C45" s="72" t="s">
        <v>522</v>
      </c>
      <c r="D45" s="72" t="s">
        <v>557</v>
      </c>
      <c r="E45" s="73">
        <v>0</v>
      </c>
      <c r="F45" s="73">
        <v>0</v>
      </c>
      <c r="G45" s="73">
        <v>0</v>
      </c>
      <c r="H45" s="73">
        <v>0</v>
      </c>
      <c r="I45" s="73">
        <v>0</v>
      </c>
      <c r="J45" s="73">
        <v>0</v>
      </c>
      <c r="K45" s="73">
        <v>0</v>
      </c>
      <c r="L45" s="73">
        <v>0</v>
      </c>
      <c r="M45" s="73">
        <v>0</v>
      </c>
      <c r="N45" s="73">
        <v>0</v>
      </c>
      <c r="O45" s="73">
        <v>0</v>
      </c>
      <c r="P45" s="73">
        <v>0</v>
      </c>
      <c r="Q45" s="73">
        <v>0</v>
      </c>
      <c r="R45" s="73">
        <v>0</v>
      </c>
      <c r="S45" s="73">
        <v>544342000</v>
      </c>
      <c r="T45" s="73">
        <v>557044000</v>
      </c>
      <c r="U45" s="73">
        <v>739840000</v>
      </c>
      <c r="V45" s="73">
        <v>821138419</v>
      </c>
      <c r="W45" s="73">
        <v>819162080</v>
      </c>
      <c r="X45" s="73">
        <v>863938146</v>
      </c>
      <c r="Y45" s="73">
        <v>767202464</v>
      </c>
      <c r="Z45" s="73">
        <v>706188539</v>
      </c>
      <c r="AA45" s="73">
        <v>1237728308</v>
      </c>
      <c r="AB45" s="73">
        <v>1145970343</v>
      </c>
      <c r="AC45" s="73">
        <v>1032267861</v>
      </c>
      <c r="AD45" s="73">
        <v>1322738785</v>
      </c>
      <c r="AE45" s="73">
        <v>1402960621</v>
      </c>
      <c r="AF45" s="73">
        <v>2261781515</v>
      </c>
      <c r="AG45" s="73">
        <v>2398616343</v>
      </c>
      <c r="AH45" s="73">
        <v>1831703940</v>
      </c>
      <c r="AI45" s="73">
        <v>2496982483</v>
      </c>
      <c r="AJ45" s="73">
        <v>1703446579</v>
      </c>
      <c r="AK45" s="73">
        <v>2316918101</v>
      </c>
      <c r="AL45" s="73">
        <v>3332763119</v>
      </c>
      <c r="AM45" s="73">
        <v>4093956821</v>
      </c>
      <c r="AN45" s="73">
        <v>3189069578</v>
      </c>
      <c r="AO45" s="73">
        <v>2294602777</v>
      </c>
      <c r="AP45" s="73">
        <v>2435981030</v>
      </c>
      <c r="AQ45" s="73">
        <v>2463043363</v>
      </c>
      <c r="AR45" s="73">
        <v>2765110146</v>
      </c>
      <c r="AS45" s="73">
        <v>3291082935</v>
      </c>
      <c r="AT45" s="73">
        <v>2762000895</v>
      </c>
      <c r="AU45" s="73">
        <v>2170695964</v>
      </c>
      <c r="AV45">
        <v>4669572993</v>
      </c>
      <c r="AW45">
        <v>8250203686</v>
      </c>
      <c r="AX45">
        <v>4060504207</v>
      </c>
    </row>
    <row r="46" spans="1:50" ht="14.5" x14ac:dyDescent="0.35">
      <c r="A46" s="72" t="s">
        <v>91</v>
      </c>
      <c r="B46" s="72" t="str">
        <f>VLOOKUP(Tabelle_Abfrage_von_MS_Access_Database3[[#This Row],[LAND]],Texte!$A$4:$C$261,Texte!$A$1+1,FALSE)</f>
        <v>Georgien</v>
      </c>
      <c r="C46" s="72" t="s">
        <v>522</v>
      </c>
      <c r="D46" s="72" t="s">
        <v>557</v>
      </c>
      <c r="E46" s="73">
        <v>0</v>
      </c>
      <c r="F46" s="73">
        <v>0</v>
      </c>
      <c r="G46" s="73">
        <v>0</v>
      </c>
      <c r="H46" s="73">
        <v>0</v>
      </c>
      <c r="I46" s="73">
        <v>0</v>
      </c>
      <c r="J46" s="73">
        <v>0</v>
      </c>
      <c r="K46" s="73">
        <v>0</v>
      </c>
      <c r="L46" s="73">
        <v>0</v>
      </c>
      <c r="M46" s="73">
        <v>0</v>
      </c>
      <c r="N46" s="73">
        <v>0</v>
      </c>
      <c r="O46" s="73">
        <v>0</v>
      </c>
      <c r="P46" s="73">
        <v>0</v>
      </c>
      <c r="Q46" s="73">
        <v>0</v>
      </c>
      <c r="R46" s="73">
        <v>0</v>
      </c>
      <c r="S46" s="73">
        <v>1158000</v>
      </c>
      <c r="T46" s="73">
        <v>492000</v>
      </c>
      <c r="U46" s="73">
        <v>98000</v>
      </c>
      <c r="V46" s="73">
        <v>228995</v>
      </c>
      <c r="W46" s="73">
        <v>157335</v>
      </c>
      <c r="X46" s="73">
        <v>302028</v>
      </c>
      <c r="Y46" s="73">
        <v>2051774</v>
      </c>
      <c r="Z46" s="73">
        <v>2022629</v>
      </c>
      <c r="AA46" s="73">
        <v>826002</v>
      </c>
      <c r="AB46" s="73">
        <v>1790080</v>
      </c>
      <c r="AC46" s="73">
        <v>985278</v>
      </c>
      <c r="AD46" s="73">
        <v>2958620</v>
      </c>
      <c r="AE46" s="73">
        <v>2873056</v>
      </c>
      <c r="AF46" s="73">
        <v>2706606</v>
      </c>
      <c r="AG46" s="73">
        <v>2529801</v>
      </c>
      <c r="AH46" s="73">
        <v>4368073</v>
      </c>
      <c r="AI46" s="73">
        <v>2625086</v>
      </c>
      <c r="AJ46" s="73">
        <v>6950981</v>
      </c>
      <c r="AK46" s="73">
        <v>11430779</v>
      </c>
      <c r="AL46" s="73">
        <v>1759359</v>
      </c>
      <c r="AM46" s="73">
        <v>2642117</v>
      </c>
      <c r="AN46" s="73">
        <v>9787532</v>
      </c>
      <c r="AO46" s="73">
        <v>4569628</v>
      </c>
      <c r="AP46" s="73">
        <v>3819544</v>
      </c>
      <c r="AQ46" s="73">
        <v>2943980</v>
      </c>
      <c r="AR46" s="73">
        <v>8066079</v>
      </c>
      <c r="AS46" s="73">
        <v>9282930</v>
      </c>
      <c r="AT46" s="73">
        <v>3553870</v>
      </c>
      <c r="AU46" s="73">
        <v>4641191</v>
      </c>
      <c r="AV46">
        <v>6643420</v>
      </c>
      <c r="AW46">
        <v>7564190</v>
      </c>
      <c r="AX46">
        <v>9614874</v>
      </c>
    </row>
    <row r="47" spans="1:50" ht="14.5" x14ac:dyDescent="0.35">
      <c r="A47" s="72" t="s">
        <v>93</v>
      </c>
      <c r="B47" s="72" t="str">
        <f>VLOOKUP(Tabelle_Abfrage_von_MS_Access_Database3[[#This Row],[LAND]],Texte!$A$4:$C$261,Texte!$A$1+1,FALSE)</f>
        <v>Armenien</v>
      </c>
      <c r="C47" s="72" t="s">
        <v>522</v>
      </c>
      <c r="D47" s="72" t="s">
        <v>557</v>
      </c>
      <c r="E47" s="73">
        <v>0</v>
      </c>
      <c r="F47" s="73">
        <v>0</v>
      </c>
      <c r="G47" s="73">
        <v>0</v>
      </c>
      <c r="H47" s="73">
        <v>0</v>
      </c>
      <c r="I47" s="73">
        <v>0</v>
      </c>
      <c r="J47" s="73">
        <v>0</v>
      </c>
      <c r="K47" s="73">
        <v>0</v>
      </c>
      <c r="L47" s="73">
        <v>0</v>
      </c>
      <c r="M47" s="73">
        <v>0</v>
      </c>
      <c r="N47" s="73">
        <v>0</v>
      </c>
      <c r="O47" s="73">
        <v>0</v>
      </c>
      <c r="P47" s="73">
        <v>0</v>
      </c>
      <c r="Q47" s="73">
        <v>0</v>
      </c>
      <c r="R47" s="73">
        <v>0</v>
      </c>
      <c r="S47" s="73">
        <v>92000</v>
      </c>
      <c r="T47" s="73">
        <v>166000</v>
      </c>
      <c r="U47" s="73">
        <v>157000</v>
      </c>
      <c r="V47" s="73">
        <v>62934</v>
      </c>
      <c r="W47" s="73">
        <v>250647</v>
      </c>
      <c r="X47" s="73">
        <v>136116</v>
      </c>
      <c r="Y47" s="73">
        <v>1261599</v>
      </c>
      <c r="Z47" s="73">
        <v>32050</v>
      </c>
      <c r="AA47" s="73">
        <v>202321</v>
      </c>
      <c r="AB47" s="73">
        <v>925668</v>
      </c>
      <c r="AC47" s="73">
        <v>457700</v>
      </c>
      <c r="AD47" s="73">
        <v>620404</v>
      </c>
      <c r="AE47" s="73">
        <v>748281</v>
      </c>
      <c r="AF47" s="73">
        <v>485554</v>
      </c>
      <c r="AG47" s="73">
        <v>1972412</v>
      </c>
      <c r="AH47" s="73">
        <v>6826598</v>
      </c>
      <c r="AI47" s="73">
        <v>7499320</v>
      </c>
      <c r="AJ47" s="73">
        <v>1442950</v>
      </c>
      <c r="AK47" s="73">
        <v>1353573</v>
      </c>
      <c r="AL47" s="73">
        <v>6080892</v>
      </c>
      <c r="AM47" s="73">
        <v>2283107</v>
      </c>
      <c r="AN47" s="73">
        <v>2726166</v>
      </c>
      <c r="AO47" s="73">
        <v>2385550</v>
      </c>
      <c r="AP47" s="73">
        <v>2643207</v>
      </c>
      <c r="AQ47" s="73">
        <v>3088389</v>
      </c>
      <c r="AR47" s="73">
        <v>4382457</v>
      </c>
      <c r="AS47" s="73">
        <v>7702989</v>
      </c>
      <c r="AT47" s="73">
        <v>8706601</v>
      </c>
      <c r="AU47" s="73">
        <v>7878748</v>
      </c>
      <c r="AV47">
        <v>10441094</v>
      </c>
      <c r="AW47">
        <v>11165067</v>
      </c>
      <c r="AX47">
        <v>9109088</v>
      </c>
    </row>
    <row r="48" spans="1:50" ht="14.5" x14ac:dyDescent="0.35">
      <c r="A48" s="72" t="s">
        <v>95</v>
      </c>
      <c r="B48" s="72" t="str">
        <f>VLOOKUP(Tabelle_Abfrage_von_MS_Access_Database3[[#This Row],[LAND]],Texte!$A$4:$C$261,Texte!$A$1+1,FALSE)</f>
        <v>Aserbaidschan</v>
      </c>
      <c r="C48" s="72" t="s">
        <v>522</v>
      </c>
      <c r="D48" s="72" t="s">
        <v>557</v>
      </c>
      <c r="E48" s="73">
        <v>0</v>
      </c>
      <c r="F48" s="73">
        <v>0</v>
      </c>
      <c r="G48" s="73">
        <v>0</v>
      </c>
      <c r="H48" s="73">
        <v>0</v>
      </c>
      <c r="I48" s="73">
        <v>0</v>
      </c>
      <c r="J48" s="73">
        <v>0</v>
      </c>
      <c r="K48" s="73">
        <v>0</v>
      </c>
      <c r="L48" s="73">
        <v>0</v>
      </c>
      <c r="M48" s="73">
        <v>0</v>
      </c>
      <c r="N48" s="73">
        <v>0</v>
      </c>
      <c r="O48" s="73">
        <v>0</v>
      </c>
      <c r="P48" s="73">
        <v>0</v>
      </c>
      <c r="Q48" s="73">
        <v>0</v>
      </c>
      <c r="R48" s="73">
        <v>0</v>
      </c>
      <c r="S48" s="73">
        <v>211000</v>
      </c>
      <c r="T48" s="73">
        <v>500000</v>
      </c>
      <c r="U48" s="73">
        <v>1479000</v>
      </c>
      <c r="V48" s="73">
        <v>944237</v>
      </c>
      <c r="W48" s="73">
        <v>570262</v>
      </c>
      <c r="X48" s="73">
        <v>200723</v>
      </c>
      <c r="Y48" s="73">
        <v>196362</v>
      </c>
      <c r="Z48" s="73">
        <v>30680871</v>
      </c>
      <c r="AA48" s="73">
        <v>34652587</v>
      </c>
      <c r="AB48" s="73">
        <v>48532754</v>
      </c>
      <c r="AC48" s="73">
        <v>43154006</v>
      </c>
      <c r="AD48" s="73">
        <v>32836518</v>
      </c>
      <c r="AE48" s="73">
        <v>35132688</v>
      </c>
      <c r="AF48" s="73">
        <v>106900438</v>
      </c>
      <c r="AG48" s="73">
        <v>71800392</v>
      </c>
      <c r="AH48" s="73">
        <v>13418971</v>
      </c>
      <c r="AI48" s="73">
        <v>423328</v>
      </c>
      <c r="AJ48" s="73">
        <v>37300889</v>
      </c>
      <c r="AK48" s="73">
        <v>79207674</v>
      </c>
      <c r="AL48" s="73">
        <v>59023649</v>
      </c>
      <c r="AM48" s="73">
        <v>157564055</v>
      </c>
      <c r="AN48" s="73">
        <v>455756538</v>
      </c>
      <c r="AO48" s="73">
        <v>370817145</v>
      </c>
      <c r="AP48" s="73">
        <v>333301977</v>
      </c>
      <c r="AQ48" s="73">
        <v>161504942</v>
      </c>
      <c r="AR48" s="73">
        <v>362359437</v>
      </c>
      <c r="AS48" s="73">
        <v>367637382</v>
      </c>
      <c r="AT48" s="73">
        <v>438625472</v>
      </c>
      <c r="AU48" s="73">
        <v>110922770</v>
      </c>
      <c r="AV48">
        <v>51693345</v>
      </c>
      <c r="AW48">
        <v>43898746</v>
      </c>
      <c r="AX48">
        <v>314065543</v>
      </c>
    </row>
    <row r="49" spans="1:50" ht="14.5" x14ac:dyDescent="0.35">
      <c r="A49" s="72" t="s">
        <v>97</v>
      </c>
      <c r="B49" s="72" t="str">
        <f>VLOOKUP(Tabelle_Abfrage_von_MS_Access_Database3[[#This Row],[LAND]],Texte!$A$4:$C$261,Texte!$A$1+1,FALSE)</f>
        <v>Kasachstan</v>
      </c>
      <c r="C49" s="72" t="s">
        <v>522</v>
      </c>
      <c r="D49" s="72" t="s">
        <v>557</v>
      </c>
      <c r="E49" s="73">
        <v>0</v>
      </c>
      <c r="F49" s="73">
        <v>0</v>
      </c>
      <c r="G49" s="73">
        <v>0</v>
      </c>
      <c r="H49" s="73">
        <v>0</v>
      </c>
      <c r="I49" s="73">
        <v>0</v>
      </c>
      <c r="J49" s="73">
        <v>0</v>
      </c>
      <c r="K49" s="73">
        <v>0</v>
      </c>
      <c r="L49" s="73">
        <v>0</v>
      </c>
      <c r="M49" s="73">
        <v>0</v>
      </c>
      <c r="N49" s="73">
        <v>0</v>
      </c>
      <c r="O49" s="73">
        <v>0</v>
      </c>
      <c r="P49" s="73">
        <v>0</v>
      </c>
      <c r="Q49" s="73">
        <v>0</v>
      </c>
      <c r="R49" s="73">
        <v>0</v>
      </c>
      <c r="S49" s="73">
        <v>3113000</v>
      </c>
      <c r="T49" s="73">
        <v>2105000</v>
      </c>
      <c r="U49" s="73">
        <v>3944000</v>
      </c>
      <c r="V49" s="73">
        <v>5484036</v>
      </c>
      <c r="W49" s="73">
        <v>6228644</v>
      </c>
      <c r="X49" s="73">
        <v>39379086</v>
      </c>
      <c r="Y49" s="73">
        <v>103115848</v>
      </c>
      <c r="Z49" s="73">
        <v>147419168</v>
      </c>
      <c r="AA49" s="73">
        <v>384033923</v>
      </c>
      <c r="AB49" s="73">
        <v>205647496</v>
      </c>
      <c r="AC49" s="73">
        <v>371818280</v>
      </c>
      <c r="AD49" s="73">
        <v>216045404</v>
      </c>
      <c r="AE49" s="73">
        <v>456403993</v>
      </c>
      <c r="AF49" s="73">
        <v>511647421</v>
      </c>
      <c r="AG49" s="73">
        <v>655400331</v>
      </c>
      <c r="AH49" s="73">
        <v>791963878</v>
      </c>
      <c r="AI49" s="73">
        <v>1074788506</v>
      </c>
      <c r="AJ49" s="73">
        <v>937999281</v>
      </c>
      <c r="AK49" s="73">
        <v>873373943</v>
      </c>
      <c r="AL49" s="73">
        <v>1400854457</v>
      </c>
      <c r="AM49" s="73">
        <v>1434064130</v>
      </c>
      <c r="AN49" s="73">
        <v>1334930707</v>
      </c>
      <c r="AO49" s="73">
        <v>1645057874</v>
      </c>
      <c r="AP49" s="73">
        <v>865416815</v>
      </c>
      <c r="AQ49" s="73">
        <v>663908316</v>
      </c>
      <c r="AR49" s="73">
        <v>944841425</v>
      </c>
      <c r="AS49" s="73">
        <v>1452837544</v>
      </c>
      <c r="AT49" s="73">
        <v>1509218861</v>
      </c>
      <c r="AU49" s="73">
        <v>878623536</v>
      </c>
      <c r="AV49">
        <v>1372058128</v>
      </c>
      <c r="AW49">
        <v>1584809511</v>
      </c>
      <c r="AX49">
        <v>1749470831</v>
      </c>
    </row>
    <row r="50" spans="1:50" ht="14.5" x14ac:dyDescent="0.35">
      <c r="A50" s="72" t="s">
        <v>99</v>
      </c>
      <c r="B50" s="72" t="str">
        <f>VLOOKUP(Tabelle_Abfrage_von_MS_Access_Database3[[#This Row],[LAND]],Texte!$A$4:$C$261,Texte!$A$1+1,FALSE)</f>
        <v>Turkmenistan</v>
      </c>
      <c r="C50" s="72" t="s">
        <v>522</v>
      </c>
      <c r="D50" s="72" t="s">
        <v>557</v>
      </c>
      <c r="E50" s="73">
        <v>0</v>
      </c>
      <c r="F50" s="73">
        <v>0</v>
      </c>
      <c r="G50" s="73">
        <v>0</v>
      </c>
      <c r="H50" s="73">
        <v>0</v>
      </c>
      <c r="I50" s="73">
        <v>0</v>
      </c>
      <c r="J50" s="73">
        <v>0</v>
      </c>
      <c r="K50" s="73">
        <v>0</v>
      </c>
      <c r="L50" s="73">
        <v>0</v>
      </c>
      <c r="M50" s="73">
        <v>0</v>
      </c>
      <c r="N50" s="73">
        <v>0</v>
      </c>
      <c r="O50" s="73">
        <v>0</v>
      </c>
      <c r="P50" s="73">
        <v>0</v>
      </c>
      <c r="Q50" s="73">
        <v>0</v>
      </c>
      <c r="R50" s="73">
        <v>0</v>
      </c>
      <c r="S50" s="73">
        <v>131000</v>
      </c>
      <c r="T50" s="73">
        <v>1352000</v>
      </c>
      <c r="U50" s="73">
        <v>1493000</v>
      </c>
      <c r="V50" s="73">
        <v>2258743</v>
      </c>
      <c r="W50" s="73">
        <v>1578381</v>
      </c>
      <c r="X50" s="73">
        <v>267727</v>
      </c>
      <c r="Y50" s="73">
        <v>812628</v>
      </c>
      <c r="Z50" s="73">
        <v>5156864</v>
      </c>
      <c r="AA50" s="73">
        <v>14177886</v>
      </c>
      <c r="AB50" s="73">
        <v>20915653</v>
      </c>
      <c r="AC50" s="73">
        <v>8465846</v>
      </c>
      <c r="AD50" s="73">
        <v>215145</v>
      </c>
      <c r="AE50" s="73">
        <v>10907665</v>
      </c>
      <c r="AF50" s="73">
        <v>481024</v>
      </c>
      <c r="AG50" s="73">
        <v>307298</v>
      </c>
      <c r="AH50" s="73">
        <v>28258032</v>
      </c>
      <c r="AI50" s="73">
        <v>33267185</v>
      </c>
      <c r="AJ50" s="73">
        <v>58234098</v>
      </c>
      <c r="AK50" s="73">
        <v>106173</v>
      </c>
      <c r="AL50" s="73">
        <v>196972</v>
      </c>
      <c r="AM50" s="73">
        <v>266331</v>
      </c>
      <c r="AN50" s="73">
        <v>1627650</v>
      </c>
      <c r="AO50" s="73">
        <v>1908076</v>
      </c>
      <c r="AP50" s="73">
        <v>3893762</v>
      </c>
      <c r="AQ50" s="73">
        <v>1595872</v>
      </c>
      <c r="AR50" s="73">
        <v>966482</v>
      </c>
      <c r="AS50" s="73">
        <v>1610406</v>
      </c>
      <c r="AT50" s="73">
        <v>2738274</v>
      </c>
      <c r="AU50" s="73">
        <v>14478</v>
      </c>
      <c r="AV50">
        <v>141945</v>
      </c>
      <c r="AW50">
        <v>477281</v>
      </c>
      <c r="AX50">
        <v>1396538</v>
      </c>
    </row>
    <row r="51" spans="1:50" ht="14.5" x14ac:dyDescent="0.35">
      <c r="A51" s="72" t="s">
        <v>101</v>
      </c>
      <c r="B51" s="72" t="str">
        <f>VLOOKUP(Tabelle_Abfrage_von_MS_Access_Database3[[#This Row],[LAND]],Texte!$A$4:$C$261,Texte!$A$1+1,FALSE)</f>
        <v>Usbekistan</v>
      </c>
      <c r="C51" s="72" t="s">
        <v>522</v>
      </c>
      <c r="D51" s="72" t="s">
        <v>557</v>
      </c>
      <c r="E51" s="73">
        <v>0</v>
      </c>
      <c r="F51" s="73">
        <v>0</v>
      </c>
      <c r="G51" s="73">
        <v>0</v>
      </c>
      <c r="H51" s="73">
        <v>0</v>
      </c>
      <c r="I51" s="73">
        <v>0</v>
      </c>
      <c r="J51" s="73">
        <v>0</v>
      </c>
      <c r="K51" s="73">
        <v>0</v>
      </c>
      <c r="L51" s="73">
        <v>0</v>
      </c>
      <c r="M51" s="73">
        <v>0</v>
      </c>
      <c r="N51" s="73">
        <v>0</v>
      </c>
      <c r="O51" s="73">
        <v>0</v>
      </c>
      <c r="P51" s="73">
        <v>0</v>
      </c>
      <c r="Q51" s="73">
        <v>0</v>
      </c>
      <c r="R51" s="73">
        <v>0</v>
      </c>
      <c r="S51" s="73">
        <v>1209000</v>
      </c>
      <c r="T51" s="73">
        <v>6341000</v>
      </c>
      <c r="U51" s="73">
        <v>8075000</v>
      </c>
      <c r="V51" s="73">
        <v>7531157</v>
      </c>
      <c r="W51" s="73">
        <v>15477206</v>
      </c>
      <c r="X51" s="73">
        <v>32508520</v>
      </c>
      <c r="Y51" s="73">
        <v>23212721</v>
      </c>
      <c r="Z51" s="73">
        <v>17407761</v>
      </c>
      <c r="AA51" s="73">
        <v>14836303</v>
      </c>
      <c r="AB51" s="73">
        <v>21880060</v>
      </c>
      <c r="AC51" s="73">
        <v>8439098</v>
      </c>
      <c r="AD51" s="73">
        <v>23212867</v>
      </c>
      <c r="AE51" s="73">
        <v>49640566</v>
      </c>
      <c r="AF51" s="73">
        <v>102352895</v>
      </c>
      <c r="AG51" s="73">
        <v>5678571</v>
      </c>
      <c r="AH51" s="73">
        <v>3780849</v>
      </c>
      <c r="AI51" s="73">
        <v>3573029</v>
      </c>
      <c r="AJ51" s="73">
        <v>1880169</v>
      </c>
      <c r="AK51" s="73">
        <v>2758463</v>
      </c>
      <c r="AL51" s="73">
        <v>3313159</v>
      </c>
      <c r="AM51" s="73">
        <v>1870846</v>
      </c>
      <c r="AN51" s="73">
        <v>2114680</v>
      </c>
      <c r="AO51" s="73">
        <v>2971325</v>
      </c>
      <c r="AP51" s="73">
        <v>2802759</v>
      </c>
      <c r="AQ51" s="73">
        <v>2735732</v>
      </c>
      <c r="AR51" s="73">
        <v>2470439</v>
      </c>
      <c r="AS51" s="73">
        <v>4301628</v>
      </c>
      <c r="AT51" s="73">
        <v>5324341</v>
      </c>
      <c r="AU51" s="73">
        <v>4336553</v>
      </c>
      <c r="AV51">
        <v>5688178</v>
      </c>
      <c r="AW51">
        <v>9652436</v>
      </c>
      <c r="AX51">
        <v>12828812</v>
      </c>
    </row>
    <row r="52" spans="1:50" ht="14.5" x14ac:dyDescent="0.35">
      <c r="A52" s="72" t="s">
        <v>103</v>
      </c>
      <c r="B52" s="72" t="str">
        <f>VLOOKUP(Tabelle_Abfrage_von_MS_Access_Database3[[#This Row],[LAND]],Texte!$A$4:$C$261,Texte!$A$1+1,FALSE)</f>
        <v>Tadschikistan</v>
      </c>
      <c r="C52" s="72" t="s">
        <v>522</v>
      </c>
      <c r="D52" s="72" t="s">
        <v>557</v>
      </c>
      <c r="E52" s="73">
        <v>0</v>
      </c>
      <c r="F52" s="73">
        <v>0</v>
      </c>
      <c r="G52" s="73">
        <v>0</v>
      </c>
      <c r="H52" s="73">
        <v>0</v>
      </c>
      <c r="I52" s="73">
        <v>0</v>
      </c>
      <c r="J52" s="73">
        <v>0</v>
      </c>
      <c r="K52" s="73">
        <v>0</v>
      </c>
      <c r="L52" s="73">
        <v>0</v>
      </c>
      <c r="M52" s="73">
        <v>0</v>
      </c>
      <c r="N52" s="73">
        <v>0</v>
      </c>
      <c r="O52" s="73">
        <v>0</v>
      </c>
      <c r="P52" s="73">
        <v>0</v>
      </c>
      <c r="Q52" s="73">
        <v>0</v>
      </c>
      <c r="R52" s="73">
        <v>0</v>
      </c>
      <c r="S52" s="73">
        <v>189000</v>
      </c>
      <c r="T52" s="73">
        <v>147000</v>
      </c>
      <c r="U52" s="73">
        <v>1061000</v>
      </c>
      <c r="V52" s="73">
        <v>955066</v>
      </c>
      <c r="W52" s="73">
        <v>2736787</v>
      </c>
      <c r="X52" s="73">
        <v>2772977</v>
      </c>
      <c r="Y52" s="73">
        <v>1582232</v>
      </c>
      <c r="Z52" s="73">
        <v>1719368</v>
      </c>
      <c r="AA52" s="73">
        <v>3415334</v>
      </c>
      <c r="AB52" s="73">
        <v>1717237</v>
      </c>
      <c r="AC52" s="73">
        <v>6244529</v>
      </c>
      <c r="AD52" s="73">
        <v>1185919</v>
      </c>
      <c r="AE52" s="73">
        <v>5498081</v>
      </c>
      <c r="AF52" s="73">
        <v>8570327</v>
      </c>
      <c r="AG52" s="73">
        <v>9914162</v>
      </c>
      <c r="AH52" s="73">
        <v>6766906</v>
      </c>
      <c r="AI52" s="73">
        <v>1480204</v>
      </c>
      <c r="AJ52" s="73">
        <v>464252</v>
      </c>
      <c r="AK52" s="73">
        <v>1535956</v>
      </c>
      <c r="AL52" s="73">
        <v>1019119</v>
      </c>
      <c r="AM52" s="73">
        <v>513997</v>
      </c>
      <c r="AN52" s="73">
        <v>571219</v>
      </c>
      <c r="AO52" s="73">
        <v>488468</v>
      </c>
      <c r="AP52" s="73">
        <v>245668</v>
      </c>
      <c r="AQ52" s="73">
        <v>286523</v>
      </c>
      <c r="AR52" s="73">
        <v>105895</v>
      </c>
      <c r="AS52" s="73">
        <v>300224</v>
      </c>
      <c r="AT52" s="73">
        <v>24131</v>
      </c>
      <c r="AU52" s="73">
        <v>76750</v>
      </c>
      <c r="AV52">
        <v>43617</v>
      </c>
      <c r="AW52">
        <v>106979</v>
      </c>
      <c r="AX52">
        <v>53905</v>
      </c>
    </row>
    <row r="53" spans="1:50" ht="14.5" x14ac:dyDescent="0.35">
      <c r="A53" s="72" t="s">
        <v>105</v>
      </c>
      <c r="B53" s="72" t="str">
        <f>VLOOKUP(Tabelle_Abfrage_von_MS_Access_Database3[[#This Row],[LAND]],Texte!$A$4:$C$261,Texte!$A$1+1,FALSE)</f>
        <v>Kirgisistan</v>
      </c>
      <c r="C53" s="72" t="s">
        <v>522</v>
      </c>
      <c r="D53" s="72" t="s">
        <v>557</v>
      </c>
      <c r="E53" s="73">
        <v>0</v>
      </c>
      <c r="F53" s="73">
        <v>0</v>
      </c>
      <c r="G53" s="73">
        <v>0</v>
      </c>
      <c r="H53" s="73">
        <v>0</v>
      </c>
      <c r="I53" s="73">
        <v>0</v>
      </c>
      <c r="J53" s="73">
        <v>0</v>
      </c>
      <c r="K53" s="73">
        <v>0</v>
      </c>
      <c r="L53" s="73">
        <v>0</v>
      </c>
      <c r="M53" s="73">
        <v>0</v>
      </c>
      <c r="N53" s="73">
        <v>0</v>
      </c>
      <c r="O53" s="73">
        <v>0</v>
      </c>
      <c r="P53" s="73">
        <v>0</v>
      </c>
      <c r="Q53" s="73">
        <v>0</v>
      </c>
      <c r="R53" s="73">
        <v>0</v>
      </c>
      <c r="S53" s="73">
        <v>1000</v>
      </c>
      <c r="T53" s="73">
        <v>2000</v>
      </c>
      <c r="U53" s="73">
        <v>0</v>
      </c>
      <c r="V53" s="73">
        <v>1308</v>
      </c>
      <c r="W53" s="73">
        <v>287274</v>
      </c>
      <c r="X53" s="73">
        <v>307405</v>
      </c>
      <c r="Y53" s="73">
        <v>116422</v>
      </c>
      <c r="Z53" s="73">
        <v>124272</v>
      </c>
      <c r="AA53" s="73">
        <v>151741</v>
      </c>
      <c r="AB53" s="73">
        <v>221928</v>
      </c>
      <c r="AC53" s="73">
        <v>404774</v>
      </c>
      <c r="AD53" s="73">
        <v>92634</v>
      </c>
      <c r="AE53" s="73">
        <v>217869</v>
      </c>
      <c r="AF53" s="73">
        <v>320606</v>
      </c>
      <c r="AG53" s="73">
        <v>160745</v>
      </c>
      <c r="AH53" s="73">
        <v>196675</v>
      </c>
      <c r="AI53" s="73">
        <v>37539</v>
      </c>
      <c r="AJ53" s="73">
        <v>47211</v>
      </c>
      <c r="AK53" s="73">
        <v>18016</v>
      </c>
      <c r="AL53" s="73">
        <v>178954</v>
      </c>
      <c r="AM53" s="73">
        <v>149223</v>
      </c>
      <c r="AN53" s="73">
        <v>904207</v>
      </c>
      <c r="AO53" s="73">
        <v>684501</v>
      </c>
      <c r="AP53" s="73">
        <v>242784</v>
      </c>
      <c r="AQ53" s="73">
        <v>296573</v>
      </c>
      <c r="AR53" s="73">
        <v>1268071</v>
      </c>
      <c r="AS53" s="73">
        <v>213601</v>
      </c>
      <c r="AT53" s="73">
        <v>228801</v>
      </c>
      <c r="AU53" s="73">
        <v>298295</v>
      </c>
      <c r="AV53">
        <v>1331615</v>
      </c>
      <c r="AW53">
        <v>1941326</v>
      </c>
      <c r="AX53">
        <v>1490881</v>
      </c>
    </row>
    <row r="54" spans="1:50" ht="14.5" x14ac:dyDescent="0.35">
      <c r="A54" s="72" t="s">
        <v>107</v>
      </c>
      <c r="B54" s="72" t="str">
        <f>VLOOKUP(Tabelle_Abfrage_von_MS_Access_Database3[[#This Row],[LAND]],Texte!$A$4:$C$261,Texte!$A$1+1,FALSE)</f>
        <v>Slowenien</v>
      </c>
      <c r="C54" s="72" t="s">
        <v>522</v>
      </c>
      <c r="D54" s="72" t="s">
        <v>557</v>
      </c>
      <c r="E54" s="73">
        <v>0</v>
      </c>
      <c r="F54" s="73">
        <v>0</v>
      </c>
      <c r="G54" s="73">
        <v>0</v>
      </c>
      <c r="H54" s="73">
        <v>0</v>
      </c>
      <c r="I54" s="73">
        <v>0</v>
      </c>
      <c r="J54" s="73">
        <v>0</v>
      </c>
      <c r="K54" s="73">
        <v>0</v>
      </c>
      <c r="L54" s="73">
        <v>0</v>
      </c>
      <c r="M54" s="73">
        <v>0</v>
      </c>
      <c r="N54" s="73">
        <v>0</v>
      </c>
      <c r="O54" s="73">
        <v>0</v>
      </c>
      <c r="P54" s="73">
        <v>0</v>
      </c>
      <c r="Q54" s="73">
        <v>0</v>
      </c>
      <c r="R54" s="73">
        <v>0</v>
      </c>
      <c r="S54" s="73">
        <v>217723000</v>
      </c>
      <c r="T54" s="73">
        <v>245269000</v>
      </c>
      <c r="U54" s="73">
        <v>294962000</v>
      </c>
      <c r="V54" s="73">
        <v>382375301</v>
      </c>
      <c r="W54" s="73">
        <v>431911185</v>
      </c>
      <c r="X54" s="73">
        <v>491006001</v>
      </c>
      <c r="Y54" s="73">
        <v>543988639</v>
      </c>
      <c r="Z54" s="73">
        <v>579942358</v>
      </c>
      <c r="AA54" s="73">
        <v>717652141</v>
      </c>
      <c r="AB54" s="73">
        <v>768870421</v>
      </c>
      <c r="AC54" s="73">
        <v>783761156</v>
      </c>
      <c r="AD54" s="73">
        <v>875949153</v>
      </c>
      <c r="AE54" s="73">
        <v>1156145883</v>
      </c>
      <c r="AF54" s="73">
        <v>899034600</v>
      </c>
      <c r="AG54" s="73">
        <v>1019665821</v>
      </c>
      <c r="AH54" s="73">
        <v>1115901628</v>
      </c>
      <c r="AI54" s="73">
        <v>1201014798</v>
      </c>
      <c r="AJ54" s="73">
        <v>994443704</v>
      </c>
      <c r="AK54" s="73">
        <v>1256073617</v>
      </c>
      <c r="AL54" s="73">
        <v>1618986354</v>
      </c>
      <c r="AM54" s="73">
        <v>1741068463</v>
      </c>
      <c r="AN54" s="73">
        <v>1653568245</v>
      </c>
      <c r="AO54" s="73">
        <v>1697125558</v>
      </c>
      <c r="AP54" s="73">
        <v>1724730639</v>
      </c>
      <c r="AQ54" s="73">
        <v>1773583909</v>
      </c>
      <c r="AR54" s="73">
        <v>1951694988</v>
      </c>
      <c r="AS54" s="73">
        <v>2169242268</v>
      </c>
      <c r="AT54" s="73">
        <v>2208037827</v>
      </c>
      <c r="AU54" s="73">
        <v>1969291320</v>
      </c>
      <c r="AV54">
        <v>2413401412</v>
      </c>
      <c r="AW54">
        <v>3453615297</v>
      </c>
      <c r="AX54">
        <v>3052693369</v>
      </c>
    </row>
    <row r="55" spans="1:50" ht="14.5" x14ac:dyDescent="0.35">
      <c r="A55" s="72" t="s">
        <v>109</v>
      </c>
      <c r="B55" s="72" t="str">
        <f>VLOOKUP(Tabelle_Abfrage_von_MS_Access_Database3[[#This Row],[LAND]],Texte!$A$4:$C$261,Texte!$A$1+1,FALSE)</f>
        <v>Kroatien</v>
      </c>
      <c r="C55" s="72" t="s">
        <v>522</v>
      </c>
      <c r="D55" s="72" t="s">
        <v>557</v>
      </c>
      <c r="E55" s="73">
        <v>0</v>
      </c>
      <c r="F55" s="73">
        <v>0</v>
      </c>
      <c r="G55" s="73">
        <v>0</v>
      </c>
      <c r="H55" s="73">
        <v>0</v>
      </c>
      <c r="I55" s="73">
        <v>0</v>
      </c>
      <c r="J55" s="73">
        <v>0</v>
      </c>
      <c r="K55" s="73">
        <v>0</v>
      </c>
      <c r="L55" s="73">
        <v>0</v>
      </c>
      <c r="M55" s="73">
        <v>0</v>
      </c>
      <c r="N55" s="73">
        <v>0</v>
      </c>
      <c r="O55" s="73">
        <v>0</v>
      </c>
      <c r="P55" s="73">
        <v>0</v>
      </c>
      <c r="Q55" s="73">
        <v>0</v>
      </c>
      <c r="R55" s="73">
        <v>0</v>
      </c>
      <c r="S55" s="73">
        <v>68118000</v>
      </c>
      <c r="T55" s="73">
        <v>100317000</v>
      </c>
      <c r="U55" s="73">
        <v>109413000</v>
      </c>
      <c r="V55" s="73">
        <v>139841991</v>
      </c>
      <c r="W55" s="73">
        <v>182142231</v>
      </c>
      <c r="X55" s="73">
        <v>220050136</v>
      </c>
      <c r="Y55" s="73">
        <v>225716145</v>
      </c>
      <c r="Z55" s="73">
        <v>231145892</v>
      </c>
      <c r="AA55" s="73">
        <v>283194764</v>
      </c>
      <c r="AB55" s="73">
        <v>321814076</v>
      </c>
      <c r="AC55" s="73">
        <v>364192409</v>
      </c>
      <c r="AD55" s="73">
        <v>402123163</v>
      </c>
      <c r="AE55" s="73">
        <v>583790880</v>
      </c>
      <c r="AF55" s="73">
        <v>520956817</v>
      </c>
      <c r="AG55" s="73">
        <v>633277528</v>
      </c>
      <c r="AH55" s="73">
        <v>625709325</v>
      </c>
      <c r="AI55" s="73">
        <v>689431089</v>
      </c>
      <c r="AJ55" s="73">
        <v>473255543</v>
      </c>
      <c r="AK55" s="73">
        <v>522117868</v>
      </c>
      <c r="AL55" s="73">
        <v>629748285</v>
      </c>
      <c r="AM55" s="73">
        <v>760725857</v>
      </c>
      <c r="AN55" s="73">
        <v>643376183</v>
      </c>
      <c r="AO55" s="73">
        <v>474399387</v>
      </c>
      <c r="AP55" s="73">
        <v>539080615</v>
      </c>
      <c r="AQ55" s="73">
        <v>616846611</v>
      </c>
      <c r="AR55" s="73">
        <v>688598308</v>
      </c>
      <c r="AS55" s="73">
        <v>708749566</v>
      </c>
      <c r="AT55" s="73">
        <v>648478402</v>
      </c>
      <c r="AU55" s="73">
        <v>724979862</v>
      </c>
      <c r="AV55">
        <v>889770854</v>
      </c>
      <c r="AW55">
        <v>969905839</v>
      </c>
      <c r="AX55">
        <v>931272462</v>
      </c>
    </row>
    <row r="56" spans="1:50" ht="14.5" x14ac:dyDescent="0.35">
      <c r="A56" s="72" t="s">
        <v>111</v>
      </c>
      <c r="B56" s="72" t="str">
        <f>VLOOKUP(Tabelle_Abfrage_von_MS_Access_Database3[[#This Row],[LAND]],Texte!$A$4:$C$261,Texte!$A$1+1,FALSE)</f>
        <v>Bosnien-Herzegowina</v>
      </c>
      <c r="C56" s="72" t="s">
        <v>522</v>
      </c>
      <c r="D56" s="72" t="s">
        <v>557</v>
      </c>
      <c r="E56" s="73">
        <v>0</v>
      </c>
      <c r="F56" s="73">
        <v>0</v>
      </c>
      <c r="G56" s="73">
        <v>0</v>
      </c>
      <c r="H56" s="73">
        <v>0</v>
      </c>
      <c r="I56" s="73">
        <v>0</v>
      </c>
      <c r="J56" s="73">
        <v>0</v>
      </c>
      <c r="K56" s="73">
        <v>0</v>
      </c>
      <c r="L56" s="73">
        <v>0</v>
      </c>
      <c r="M56" s="73">
        <v>0</v>
      </c>
      <c r="N56" s="73">
        <v>0</v>
      </c>
      <c r="O56" s="73">
        <v>0</v>
      </c>
      <c r="P56" s="73">
        <v>0</v>
      </c>
      <c r="Q56" s="73">
        <v>0</v>
      </c>
      <c r="R56" s="73">
        <v>0</v>
      </c>
      <c r="S56" s="73">
        <v>5160000</v>
      </c>
      <c r="T56" s="73">
        <v>1024000</v>
      </c>
      <c r="U56" s="73">
        <v>500000</v>
      </c>
      <c r="V56" s="73">
        <v>319107</v>
      </c>
      <c r="W56" s="73">
        <v>2762658</v>
      </c>
      <c r="X56" s="73">
        <v>8808019</v>
      </c>
      <c r="Y56" s="73">
        <v>22117837</v>
      </c>
      <c r="Z56" s="73">
        <v>24571124</v>
      </c>
      <c r="AA56" s="73">
        <v>34641108</v>
      </c>
      <c r="AB56" s="73">
        <v>53288371</v>
      </c>
      <c r="AC56" s="73">
        <v>42356882</v>
      </c>
      <c r="AD56" s="73">
        <v>51649277</v>
      </c>
      <c r="AE56" s="73">
        <v>81565603</v>
      </c>
      <c r="AF56" s="73">
        <v>104321340</v>
      </c>
      <c r="AG56" s="73">
        <v>170466372</v>
      </c>
      <c r="AH56" s="73">
        <v>203829182</v>
      </c>
      <c r="AI56" s="73">
        <v>231101455</v>
      </c>
      <c r="AJ56" s="73">
        <v>181221229</v>
      </c>
      <c r="AK56" s="73">
        <v>244991130</v>
      </c>
      <c r="AL56" s="73">
        <v>345342279</v>
      </c>
      <c r="AM56" s="73">
        <v>387014082</v>
      </c>
      <c r="AN56" s="73">
        <v>405006269</v>
      </c>
      <c r="AO56" s="73">
        <v>459221869</v>
      </c>
      <c r="AP56" s="73">
        <v>461845266</v>
      </c>
      <c r="AQ56" s="73">
        <v>480744499</v>
      </c>
      <c r="AR56" s="73">
        <v>553816609</v>
      </c>
      <c r="AS56" s="73">
        <v>616984375</v>
      </c>
      <c r="AT56" s="73">
        <v>653765470</v>
      </c>
      <c r="AU56" s="73">
        <v>597294014</v>
      </c>
      <c r="AV56">
        <v>750941178</v>
      </c>
      <c r="AW56">
        <v>920571120</v>
      </c>
      <c r="AX56">
        <v>970633956</v>
      </c>
    </row>
    <row r="57" spans="1:50" ht="14.5" x14ac:dyDescent="0.35">
      <c r="A57" s="72" t="s">
        <v>113</v>
      </c>
      <c r="B57" s="72" t="str">
        <f>VLOOKUP(Tabelle_Abfrage_von_MS_Access_Database3[[#This Row],[LAND]],Texte!$A$4:$C$261,Texte!$A$1+1,FALSE)</f>
        <v>Serbien und Montenegro</v>
      </c>
      <c r="C57" s="72" t="s">
        <v>522</v>
      </c>
      <c r="D57" s="72" t="s">
        <v>535</v>
      </c>
      <c r="E57" s="74"/>
      <c r="F57" s="74"/>
      <c r="G57" s="74"/>
      <c r="H57" s="74"/>
      <c r="I57" s="74"/>
      <c r="J57" s="74"/>
      <c r="K57" s="74"/>
      <c r="L57" s="74"/>
      <c r="M57" s="74"/>
      <c r="N57" s="74"/>
      <c r="O57" s="74"/>
      <c r="P57" s="74"/>
      <c r="Q57" s="74"/>
      <c r="R57" s="74"/>
      <c r="S57" s="73">
        <v>75470000</v>
      </c>
      <c r="T57" s="73">
        <v>1096000</v>
      </c>
      <c r="U57" s="73">
        <v>104000</v>
      </c>
      <c r="V57" s="73">
        <v>400501</v>
      </c>
      <c r="W57" s="73">
        <v>16062298</v>
      </c>
      <c r="X57" s="73">
        <v>33632624</v>
      </c>
      <c r="Y57" s="73">
        <v>46664241</v>
      </c>
      <c r="Z57" s="73">
        <v>30277971</v>
      </c>
      <c r="AA57" s="73">
        <v>30676431</v>
      </c>
      <c r="AB57" s="73">
        <v>37106676</v>
      </c>
      <c r="AC57" s="73">
        <v>70045450</v>
      </c>
      <c r="AD57" s="73">
        <v>78925265</v>
      </c>
      <c r="AE57" s="73">
        <v>112075483</v>
      </c>
      <c r="AF57" s="73">
        <v>42295012</v>
      </c>
      <c r="AG57" s="74"/>
      <c r="AH57" s="74"/>
      <c r="AI57" s="74"/>
      <c r="AJ57" s="74"/>
      <c r="AK57" s="74"/>
      <c r="AL57" s="74"/>
      <c r="AM57" s="74"/>
      <c r="AN57" s="74"/>
      <c r="AO57" s="74"/>
      <c r="AP57" s="74"/>
      <c r="AQ57" s="74"/>
      <c r="AR57" s="74"/>
      <c r="AS57" s="74"/>
      <c r="AT57" s="74"/>
      <c r="AU57" s="74"/>
    </row>
    <row r="58" spans="1:50" ht="14.5" x14ac:dyDescent="0.35">
      <c r="A58" s="72" t="s">
        <v>115</v>
      </c>
      <c r="B58" s="72" t="str">
        <f>VLOOKUP(Tabelle_Abfrage_von_MS_Access_Database3[[#This Row],[LAND]],Texte!$A$4:$C$261,Texte!$A$1+1,FALSE)</f>
        <v>Kosovo</v>
      </c>
      <c r="C58" s="72" t="s">
        <v>535</v>
      </c>
      <c r="D58" s="72" t="s">
        <v>557</v>
      </c>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3">
        <v>812965</v>
      </c>
      <c r="AG58" s="73">
        <v>1265378</v>
      </c>
      <c r="AH58" s="73">
        <v>1931761</v>
      </c>
      <c r="AI58" s="73">
        <v>2064808</v>
      </c>
      <c r="AJ58" s="73">
        <v>5595787</v>
      </c>
      <c r="AK58" s="73">
        <v>7404676</v>
      </c>
      <c r="AL58" s="73">
        <v>6645175</v>
      </c>
      <c r="AM58" s="73">
        <v>6509764</v>
      </c>
      <c r="AN58" s="73">
        <v>6508472</v>
      </c>
      <c r="AO58" s="73">
        <v>7108093</v>
      </c>
      <c r="AP58" s="73">
        <v>12996287</v>
      </c>
      <c r="AQ58" s="73">
        <v>7669487</v>
      </c>
      <c r="AR58" s="73">
        <v>10988048</v>
      </c>
      <c r="AS58" s="73">
        <v>8766565</v>
      </c>
      <c r="AT58" s="73">
        <v>5499831</v>
      </c>
      <c r="AU58" s="73">
        <v>5818717</v>
      </c>
      <c r="AV58">
        <v>11588463</v>
      </c>
      <c r="AW58">
        <v>13517663</v>
      </c>
      <c r="AX58">
        <v>22200361</v>
      </c>
    </row>
    <row r="59" spans="1:50" ht="14.5" x14ac:dyDescent="0.35">
      <c r="A59" s="72" t="s">
        <v>117</v>
      </c>
      <c r="B59" s="72" t="str">
        <f>VLOOKUP(Tabelle_Abfrage_von_MS_Access_Database3[[#This Row],[LAND]],Texte!$A$4:$C$261,Texte!$A$1+1,FALSE)</f>
        <v>Eh.jugosl.Rep.Mazedonien</v>
      </c>
      <c r="C59" s="72" t="s">
        <v>522</v>
      </c>
      <c r="D59" s="72" t="s">
        <v>557</v>
      </c>
      <c r="E59" s="73">
        <v>0</v>
      </c>
      <c r="F59" s="73">
        <v>0</v>
      </c>
      <c r="G59" s="73">
        <v>0</v>
      </c>
      <c r="H59" s="73">
        <v>0</v>
      </c>
      <c r="I59" s="73">
        <v>0</v>
      </c>
      <c r="J59" s="73">
        <v>0</v>
      </c>
      <c r="K59" s="73">
        <v>0</v>
      </c>
      <c r="L59" s="73">
        <v>0</v>
      </c>
      <c r="M59" s="73">
        <v>0</v>
      </c>
      <c r="N59" s="73">
        <v>0</v>
      </c>
      <c r="O59" s="73">
        <v>0</v>
      </c>
      <c r="P59" s="73">
        <v>0</v>
      </c>
      <c r="Q59" s="73">
        <v>0</v>
      </c>
      <c r="R59" s="73">
        <v>0</v>
      </c>
      <c r="S59" s="73">
        <v>6541000</v>
      </c>
      <c r="T59" s="73">
        <v>10248000</v>
      </c>
      <c r="U59" s="73">
        <v>13917000</v>
      </c>
      <c r="V59" s="73">
        <v>15642240</v>
      </c>
      <c r="W59" s="73">
        <v>7363214</v>
      </c>
      <c r="X59" s="73">
        <v>8363982</v>
      </c>
      <c r="Y59" s="73">
        <v>11121264</v>
      </c>
      <c r="Z59" s="73">
        <v>11320245</v>
      </c>
      <c r="AA59" s="73">
        <v>8785273</v>
      </c>
      <c r="AB59" s="73">
        <v>11366932</v>
      </c>
      <c r="AC59" s="73">
        <v>9413129</v>
      </c>
      <c r="AD59" s="73">
        <v>8837246</v>
      </c>
      <c r="AE59" s="73">
        <v>9146943</v>
      </c>
      <c r="AF59" s="73">
        <v>17825722</v>
      </c>
      <c r="AG59" s="73">
        <v>21985585</v>
      </c>
      <c r="AH59" s="73">
        <v>24854994</v>
      </c>
      <c r="AI59" s="73">
        <v>25856105</v>
      </c>
      <c r="AJ59" s="73">
        <v>30576116</v>
      </c>
      <c r="AK59" s="73">
        <v>37567298</v>
      </c>
      <c r="AL59" s="73">
        <v>48224693</v>
      </c>
      <c r="AM59" s="73">
        <v>62207677</v>
      </c>
      <c r="AN59" s="73">
        <v>62919583</v>
      </c>
      <c r="AO59" s="73">
        <v>69206687</v>
      </c>
      <c r="AP59" s="73">
        <v>69587175</v>
      </c>
      <c r="AQ59" s="73">
        <v>67067080</v>
      </c>
      <c r="AR59" s="73">
        <v>65110021</v>
      </c>
      <c r="AS59" s="73">
        <v>66572314</v>
      </c>
      <c r="AT59" s="73">
        <v>72644944</v>
      </c>
      <c r="AU59" s="73">
        <v>101909508</v>
      </c>
      <c r="AV59">
        <v>113165846</v>
      </c>
      <c r="AW59">
        <v>137951341</v>
      </c>
      <c r="AX59">
        <v>159313615</v>
      </c>
    </row>
    <row r="60" spans="1:50" ht="14.5" x14ac:dyDescent="0.35">
      <c r="A60" s="72" t="s">
        <v>119</v>
      </c>
      <c r="B60" s="72" t="str">
        <f>VLOOKUP(Tabelle_Abfrage_von_MS_Access_Database3[[#This Row],[LAND]],Texte!$A$4:$C$261,Texte!$A$1+1,FALSE)</f>
        <v>Montenegro</v>
      </c>
      <c r="C60" s="72" t="s">
        <v>535</v>
      </c>
      <c r="D60" s="72" t="s">
        <v>557</v>
      </c>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3">
        <v>689854</v>
      </c>
      <c r="AG60" s="73">
        <v>2008410</v>
      </c>
      <c r="AH60" s="73">
        <v>1190390</v>
      </c>
      <c r="AI60" s="73">
        <v>1601465</v>
      </c>
      <c r="AJ60" s="73">
        <v>1037080</v>
      </c>
      <c r="AK60" s="73">
        <v>4984371</v>
      </c>
      <c r="AL60" s="73">
        <v>6858649</v>
      </c>
      <c r="AM60" s="73">
        <v>3490529</v>
      </c>
      <c r="AN60" s="73">
        <v>3594143</v>
      </c>
      <c r="AO60" s="73">
        <v>1610145</v>
      </c>
      <c r="AP60" s="73">
        <v>3175968</v>
      </c>
      <c r="AQ60" s="73">
        <v>10069573</v>
      </c>
      <c r="AR60" s="73">
        <v>2279963</v>
      </c>
      <c r="AS60" s="73">
        <v>9636572</v>
      </c>
      <c r="AT60" s="73">
        <v>3464926</v>
      </c>
      <c r="AU60" s="73">
        <v>2899501</v>
      </c>
      <c r="AV60">
        <v>2863255</v>
      </c>
      <c r="AW60">
        <v>3458925</v>
      </c>
      <c r="AX60">
        <v>2532794</v>
      </c>
    </row>
    <row r="61" spans="1:50" ht="14.5" x14ac:dyDescent="0.35">
      <c r="A61" s="72" t="s">
        <v>121</v>
      </c>
      <c r="B61" s="72" t="str">
        <f>VLOOKUP(Tabelle_Abfrage_von_MS_Access_Database3[[#This Row],[LAND]],Texte!$A$4:$C$261,Texte!$A$1+1,FALSE)</f>
        <v>Serbien</v>
      </c>
      <c r="C61" s="72" t="s">
        <v>535</v>
      </c>
      <c r="D61" s="72" t="s">
        <v>557</v>
      </c>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3">
        <v>68195719</v>
      </c>
      <c r="AG61" s="73">
        <v>149936114</v>
      </c>
      <c r="AH61" s="73">
        <v>229595478</v>
      </c>
      <c r="AI61" s="73">
        <v>308223508</v>
      </c>
      <c r="AJ61" s="73">
        <v>227631436</v>
      </c>
      <c r="AK61" s="73">
        <v>279066187</v>
      </c>
      <c r="AL61" s="73">
        <v>308930276</v>
      </c>
      <c r="AM61" s="73">
        <v>260277718</v>
      </c>
      <c r="AN61" s="73">
        <v>329246805</v>
      </c>
      <c r="AO61" s="73">
        <v>343926030</v>
      </c>
      <c r="AP61" s="73">
        <v>394610685</v>
      </c>
      <c r="AQ61" s="73">
        <v>420031254</v>
      </c>
      <c r="AR61" s="73">
        <v>490809382</v>
      </c>
      <c r="AS61" s="73">
        <v>521208136</v>
      </c>
      <c r="AT61" s="73">
        <v>680698240</v>
      </c>
      <c r="AU61" s="73">
        <v>565729243</v>
      </c>
      <c r="AV61">
        <v>704799893</v>
      </c>
      <c r="AW61">
        <v>894581055</v>
      </c>
      <c r="AX61">
        <v>796920451</v>
      </c>
    </row>
    <row r="62" spans="1:50" ht="14.5" x14ac:dyDescent="0.35">
      <c r="A62" s="72" t="s">
        <v>123</v>
      </c>
      <c r="B62" s="72" t="str">
        <f>VLOOKUP(Tabelle_Abfrage_von_MS_Access_Database3[[#This Row],[LAND]],Texte!$A$4:$C$261,Texte!$A$1+1,FALSE)</f>
        <v>Marokko</v>
      </c>
      <c r="C62" s="72" t="s">
        <v>508</v>
      </c>
      <c r="D62" s="72" t="s">
        <v>557</v>
      </c>
      <c r="E62" s="73">
        <v>2010000</v>
      </c>
      <c r="F62" s="73">
        <v>2533000</v>
      </c>
      <c r="G62" s="73">
        <v>2970000</v>
      </c>
      <c r="H62" s="73">
        <v>4696000</v>
      </c>
      <c r="I62" s="73">
        <v>8947000</v>
      </c>
      <c r="J62" s="73">
        <v>6428000</v>
      </c>
      <c r="K62" s="73">
        <v>5144000</v>
      </c>
      <c r="L62" s="73">
        <v>6367000</v>
      </c>
      <c r="M62" s="73">
        <v>6541000</v>
      </c>
      <c r="N62" s="73">
        <v>9398000</v>
      </c>
      <c r="O62" s="73">
        <v>15954000</v>
      </c>
      <c r="P62" s="73">
        <v>14432000</v>
      </c>
      <c r="Q62" s="73">
        <v>15365000</v>
      </c>
      <c r="R62" s="73">
        <v>21641000</v>
      </c>
      <c r="S62" s="73">
        <v>28240000</v>
      </c>
      <c r="T62" s="73">
        <v>31029000</v>
      </c>
      <c r="U62" s="73">
        <v>36265000</v>
      </c>
      <c r="V62" s="73">
        <v>19352699</v>
      </c>
      <c r="W62" s="73">
        <v>27211540</v>
      </c>
      <c r="X62" s="73">
        <v>27890019</v>
      </c>
      <c r="Y62" s="73">
        <v>35339558</v>
      </c>
      <c r="Z62" s="73">
        <v>52519715</v>
      </c>
      <c r="AA62" s="73">
        <v>60567204</v>
      </c>
      <c r="AB62" s="73">
        <v>62776336</v>
      </c>
      <c r="AC62" s="73">
        <v>59292833</v>
      </c>
      <c r="AD62" s="73">
        <v>70697638</v>
      </c>
      <c r="AE62" s="73">
        <v>70619853</v>
      </c>
      <c r="AF62" s="73">
        <v>58071983</v>
      </c>
      <c r="AG62" s="73">
        <v>59007933</v>
      </c>
      <c r="AH62" s="73">
        <v>64318405</v>
      </c>
      <c r="AI62" s="73">
        <v>74060366</v>
      </c>
      <c r="AJ62" s="73">
        <v>67622572</v>
      </c>
      <c r="AK62" s="73">
        <v>75441716</v>
      </c>
      <c r="AL62" s="73">
        <v>76022298</v>
      </c>
      <c r="AM62" s="73">
        <v>86663247</v>
      </c>
      <c r="AN62" s="73">
        <v>111739009</v>
      </c>
      <c r="AO62" s="73">
        <v>128880468</v>
      </c>
      <c r="AP62" s="73">
        <v>144152146</v>
      </c>
      <c r="AQ62" s="73">
        <v>149698740</v>
      </c>
      <c r="AR62" s="73">
        <v>174223773</v>
      </c>
      <c r="AS62" s="73">
        <v>189690258</v>
      </c>
      <c r="AT62" s="73">
        <v>179767399</v>
      </c>
      <c r="AU62" s="73">
        <v>175899253</v>
      </c>
      <c r="AV62">
        <v>186486611</v>
      </c>
      <c r="AW62">
        <v>238853592</v>
      </c>
      <c r="AX62">
        <v>324640935</v>
      </c>
    </row>
    <row r="63" spans="1:50" ht="14.5" x14ac:dyDescent="0.35">
      <c r="A63" s="72" t="s">
        <v>125</v>
      </c>
      <c r="B63" s="72" t="str">
        <f>VLOOKUP(Tabelle_Abfrage_von_MS_Access_Database3[[#This Row],[LAND]],Texte!$A$4:$C$261,Texte!$A$1+1,FALSE)</f>
        <v>Algerien</v>
      </c>
      <c r="C63" s="72" t="s">
        <v>508</v>
      </c>
      <c r="D63" s="72" t="s">
        <v>557</v>
      </c>
      <c r="E63" s="73">
        <v>61789000</v>
      </c>
      <c r="F63" s="73">
        <v>92007000</v>
      </c>
      <c r="G63" s="73">
        <v>134414000</v>
      </c>
      <c r="H63" s="73">
        <v>245625000</v>
      </c>
      <c r="I63" s="73">
        <v>107740000</v>
      </c>
      <c r="J63" s="73">
        <v>238610000</v>
      </c>
      <c r="K63" s="73">
        <v>310216000</v>
      </c>
      <c r="L63" s="73">
        <v>249174000</v>
      </c>
      <c r="M63" s="73">
        <v>123306000</v>
      </c>
      <c r="N63" s="73">
        <v>93822000</v>
      </c>
      <c r="O63" s="73">
        <v>99222000</v>
      </c>
      <c r="P63" s="73">
        <v>254730000</v>
      </c>
      <c r="Q63" s="73">
        <v>275376000</v>
      </c>
      <c r="R63" s="73">
        <v>314475000</v>
      </c>
      <c r="S63" s="73">
        <v>195308000</v>
      </c>
      <c r="T63" s="73">
        <v>173368000</v>
      </c>
      <c r="U63" s="73">
        <v>195538000</v>
      </c>
      <c r="V63" s="73">
        <v>86635028</v>
      </c>
      <c r="W63" s="73">
        <v>207763347</v>
      </c>
      <c r="X63" s="73">
        <v>228526415</v>
      </c>
      <c r="Y63" s="73">
        <v>94421993</v>
      </c>
      <c r="Z63" s="73">
        <v>114432025</v>
      </c>
      <c r="AA63" s="73">
        <v>198967831</v>
      </c>
      <c r="AB63" s="73">
        <v>123220755</v>
      </c>
      <c r="AC63" s="73">
        <v>47663981</v>
      </c>
      <c r="AD63" s="73">
        <v>69718821</v>
      </c>
      <c r="AE63" s="73">
        <v>67013686</v>
      </c>
      <c r="AF63" s="73">
        <v>8896828</v>
      </c>
      <c r="AG63" s="73">
        <v>119811550</v>
      </c>
      <c r="AH63" s="73">
        <v>204793943</v>
      </c>
      <c r="AI63" s="73">
        <v>611926527</v>
      </c>
      <c r="AJ63" s="73">
        <v>44087108</v>
      </c>
      <c r="AK63" s="73">
        <v>34303687</v>
      </c>
      <c r="AL63" s="73">
        <v>142942063</v>
      </c>
      <c r="AM63" s="73">
        <v>209508340</v>
      </c>
      <c r="AN63" s="73">
        <v>192908536</v>
      </c>
      <c r="AO63" s="73">
        <v>276949387</v>
      </c>
      <c r="AP63" s="73">
        <v>323181379</v>
      </c>
      <c r="AQ63" s="73">
        <v>153015958</v>
      </c>
      <c r="AR63" s="73">
        <v>155792634</v>
      </c>
      <c r="AS63" s="73">
        <v>82372353</v>
      </c>
      <c r="AT63" s="73">
        <v>128600432</v>
      </c>
      <c r="AU63" s="73">
        <v>221051811</v>
      </c>
      <c r="AV63">
        <v>99174606</v>
      </c>
      <c r="AW63">
        <v>300216942</v>
      </c>
      <c r="AX63">
        <v>176625710</v>
      </c>
    </row>
    <row r="64" spans="1:50" ht="14.5" x14ac:dyDescent="0.35">
      <c r="A64" s="72" t="s">
        <v>127</v>
      </c>
      <c r="B64" s="72" t="str">
        <f>VLOOKUP(Tabelle_Abfrage_von_MS_Access_Database3[[#This Row],[LAND]],Texte!$A$4:$C$261,Texte!$A$1+1,FALSE)</f>
        <v>Tunesien</v>
      </c>
      <c r="C64" s="72" t="s">
        <v>508</v>
      </c>
      <c r="D64" s="72" t="s">
        <v>557</v>
      </c>
      <c r="E64" s="73">
        <v>1902000</v>
      </c>
      <c r="F64" s="73">
        <v>3212000</v>
      </c>
      <c r="G64" s="73">
        <v>9316000</v>
      </c>
      <c r="H64" s="73">
        <v>75443000</v>
      </c>
      <c r="I64" s="73">
        <v>5749000</v>
      </c>
      <c r="J64" s="73">
        <v>76840000</v>
      </c>
      <c r="K64" s="73">
        <v>24774000</v>
      </c>
      <c r="L64" s="73">
        <v>8927000</v>
      </c>
      <c r="M64" s="73">
        <v>14372000</v>
      </c>
      <c r="N64" s="73">
        <v>14512000</v>
      </c>
      <c r="O64" s="73">
        <v>4896000</v>
      </c>
      <c r="P64" s="73">
        <v>19365000</v>
      </c>
      <c r="Q64" s="73">
        <v>20532000</v>
      </c>
      <c r="R64" s="73">
        <v>20796000</v>
      </c>
      <c r="S64" s="73">
        <v>14518000</v>
      </c>
      <c r="T64" s="73">
        <v>24636000</v>
      </c>
      <c r="U64" s="73">
        <v>23425000</v>
      </c>
      <c r="V64" s="73">
        <v>21295839</v>
      </c>
      <c r="W64" s="73">
        <v>37624678</v>
      </c>
      <c r="X64" s="73">
        <v>89135411</v>
      </c>
      <c r="Y64" s="73">
        <v>46788944</v>
      </c>
      <c r="Z64" s="73">
        <v>68674162</v>
      </c>
      <c r="AA64" s="73">
        <v>35027725</v>
      </c>
      <c r="AB64" s="73">
        <v>39264932</v>
      </c>
      <c r="AC64" s="73">
        <v>37673730</v>
      </c>
      <c r="AD64" s="73">
        <v>117553859</v>
      </c>
      <c r="AE64" s="73">
        <v>50862718</v>
      </c>
      <c r="AF64" s="73">
        <v>81814731</v>
      </c>
      <c r="AG64" s="73">
        <v>98872294</v>
      </c>
      <c r="AH64" s="73">
        <v>106901862</v>
      </c>
      <c r="AI64" s="73">
        <v>117052764</v>
      </c>
      <c r="AJ64" s="73">
        <v>87934934</v>
      </c>
      <c r="AK64" s="73">
        <v>83696581</v>
      </c>
      <c r="AL64" s="73">
        <v>128869510</v>
      </c>
      <c r="AM64" s="73">
        <v>106235201</v>
      </c>
      <c r="AN64" s="73">
        <v>99734245</v>
      </c>
      <c r="AO64" s="73">
        <v>123384728</v>
      </c>
      <c r="AP64" s="73">
        <v>237436872</v>
      </c>
      <c r="AQ64" s="73">
        <v>133555420</v>
      </c>
      <c r="AR64" s="73">
        <v>107168470</v>
      </c>
      <c r="AS64" s="73">
        <v>141072343</v>
      </c>
      <c r="AT64" s="73">
        <v>159817325</v>
      </c>
      <c r="AU64" s="73">
        <v>100993347</v>
      </c>
      <c r="AV64">
        <v>129326494</v>
      </c>
      <c r="AW64">
        <v>183319962</v>
      </c>
      <c r="AX64">
        <v>200137525</v>
      </c>
    </row>
    <row r="65" spans="1:50" ht="14.5" x14ac:dyDescent="0.35">
      <c r="A65" s="72" t="s">
        <v>129</v>
      </c>
      <c r="B65" s="72" t="str">
        <f>VLOOKUP(Tabelle_Abfrage_von_MS_Access_Database3[[#This Row],[LAND]],Texte!$A$4:$C$261,Texte!$A$1+1,FALSE)</f>
        <v>Libyen</v>
      </c>
      <c r="C65" s="72" t="s">
        <v>508</v>
      </c>
      <c r="D65" s="72" t="s">
        <v>557</v>
      </c>
      <c r="E65" s="73">
        <v>106406000</v>
      </c>
      <c r="F65" s="73">
        <v>157773000</v>
      </c>
      <c r="G65" s="73">
        <v>291658000</v>
      </c>
      <c r="H65" s="73">
        <v>273396000</v>
      </c>
      <c r="I65" s="73">
        <v>370103000</v>
      </c>
      <c r="J65" s="73">
        <v>196121000</v>
      </c>
      <c r="K65" s="73">
        <v>317814000</v>
      </c>
      <c r="L65" s="73">
        <v>327865000</v>
      </c>
      <c r="M65" s="73">
        <v>278209000</v>
      </c>
      <c r="N65" s="73">
        <v>232586000</v>
      </c>
      <c r="O65" s="73">
        <v>189553000</v>
      </c>
      <c r="P65" s="73">
        <v>146310000</v>
      </c>
      <c r="Q65" s="73">
        <v>216748000</v>
      </c>
      <c r="R65" s="73">
        <v>69639000</v>
      </c>
      <c r="S65" s="73">
        <v>110392000</v>
      </c>
      <c r="T65" s="73">
        <v>86122000</v>
      </c>
      <c r="U65" s="73">
        <v>136011000</v>
      </c>
      <c r="V65" s="73">
        <v>144208700</v>
      </c>
      <c r="W65" s="73">
        <v>146726307</v>
      </c>
      <c r="X65" s="73">
        <v>174982522</v>
      </c>
      <c r="Y65" s="73">
        <v>154649825</v>
      </c>
      <c r="Z65" s="73">
        <v>164743574</v>
      </c>
      <c r="AA65" s="73">
        <v>174385661</v>
      </c>
      <c r="AB65" s="73">
        <v>276057103</v>
      </c>
      <c r="AC65" s="73">
        <v>165832802</v>
      </c>
      <c r="AD65" s="73">
        <v>170950039</v>
      </c>
      <c r="AE65" s="73">
        <v>228900341</v>
      </c>
      <c r="AF65" s="73">
        <v>112026708</v>
      </c>
      <c r="AG65" s="73">
        <v>467011052</v>
      </c>
      <c r="AH65" s="73">
        <v>704961665</v>
      </c>
      <c r="AI65" s="73">
        <v>449771774</v>
      </c>
      <c r="AJ65" s="73">
        <v>352571499</v>
      </c>
      <c r="AK65" s="73">
        <v>742505120</v>
      </c>
      <c r="AL65" s="73">
        <v>298541006</v>
      </c>
      <c r="AM65" s="73">
        <v>634979365</v>
      </c>
      <c r="AN65" s="73">
        <v>465708739</v>
      </c>
      <c r="AO65" s="73">
        <v>613174958</v>
      </c>
      <c r="AP65" s="73">
        <v>359897815</v>
      </c>
      <c r="AQ65" s="73">
        <v>319216559</v>
      </c>
      <c r="AR65" s="73">
        <v>370888898</v>
      </c>
      <c r="AS65" s="73">
        <v>896317833</v>
      </c>
      <c r="AT65" s="73">
        <v>831335328</v>
      </c>
      <c r="AU65" s="73">
        <v>121400575</v>
      </c>
      <c r="AV65">
        <v>754791391</v>
      </c>
      <c r="AW65">
        <v>731537213</v>
      </c>
      <c r="AX65">
        <v>1073388351</v>
      </c>
    </row>
    <row r="66" spans="1:50" ht="14.5" x14ac:dyDescent="0.35">
      <c r="A66" s="72" t="s">
        <v>131</v>
      </c>
      <c r="B66" s="72" t="str">
        <f>VLOOKUP(Tabelle_Abfrage_von_MS_Access_Database3[[#This Row],[LAND]],Texte!$A$4:$C$261,Texte!$A$1+1,FALSE)</f>
        <v>Ägypten</v>
      </c>
      <c r="C66" s="72" t="s">
        <v>508</v>
      </c>
      <c r="D66" s="72" t="s">
        <v>557</v>
      </c>
      <c r="E66" s="73">
        <v>12479000</v>
      </c>
      <c r="F66" s="73">
        <v>74274000</v>
      </c>
      <c r="G66" s="73">
        <v>27298000</v>
      </c>
      <c r="H66" s="73">
        <v>38826000</v>
      </c>
      <c r="I66" s="73">
        <v>110262000</v>
      </c>
      <c r="J66" s="73">
        <v>64391000</v>
      </c>
      <c r="K66" s="73">
        <v>44634000</v>
      </c>
      <c r="L66" s="73">
        <v>113642000</v>
      </c>
      <c r="M66" s="73">
        <v>47075000</v>
      </c>
      <c r="N66" s="73">
        <v>40215000</v>
      </c>
      <c r="O66" s="73">
        <v>18063000</v>
      </c>
      <c r="P66" s="73">
        <v>75310000</v>
      </c>
      <c r="Q66" s="73">
        <v>84639000</v>
      </c>
      <c r="R66" s="73">
        <v>29663000</v>
      </c>
      <c r="S66" s="73">
        <v>11411000</v>
      </c>
      <c r="T66" s="73">
        <v>12479000</v>
      </c>
      <c r="U66" s="73">
        <v>21313000</v>
      </c>
      <c r="V66" s="73">
        <v>15638464</v>
      </c>
      <c r="W66" s="73">
        <v>22362746</v>
      </c>
      <c r="X66" s="73">
        <v>11122570</v>
      </c>
      <c r="Y66" s="73">
        <v>12701685</v>
      </c>
      <c r="Z66" s="73">
        <v>18047993</v>
      </c>
      <c r="AA66" s="73">
        <v>22952844</v>
      </c>
      <c r="AB66" s="73">
        <v>20681358</v>
      </c>
      <c r="AC66" s="73">
        <v>18204922</v>
      </c>
      <c r="AD66" s="73">
        <v>19425561</v>
      </c>
      <c r="AE66" s="73">
        <v>20882114</v>
      </c>
      <c r="AF66" s="73">
        <v>25011504</v>
      </c>
      <c r="AG66" s="73">
        <v>25425801</v>
      </c>
      <c r="AH66" s="73">
        <v>27700172</v>
      </c>
      <c r="AI66" s="73">
        <v>69165118</v>
      </c>
      <c r="AJ66" s="73">
        <v>59182309</v>
      </c>
      <c r="AK66" s="73">
        <v>82663120</v>
      </c>
      <c r="AL66" s="73">
        <v>48438315</v>
      </c>
      <c r="AM66" s="73">
        <v>68994593</v>
      </c>
      <c r="AN66" s="73">
        <v>82323839</v>
      </c>
      <c r="AO66" s="73">
        <v>92410845</v>
      </c>
      <c r="AP66" s="73">
        <v>55776608</v>
      </c>
      <c r="AQ66" s="73">
        <v>47068583</v>
      </c>
      <c r="AR66" s="73">
        <v>44980198</v>
      </c>
      <c r="AS66" s="73">
        <v>55710154</v>
      </c>
      <c r="AT66" s="73">
        <v>60978639</v>
      </c>
      <c r="AU66" s="73">
        <v>53672519</v>
      </c>
      <c r="AV66">
        <v>67459996</v>
      </c>
      <c r="AW66">
        <v>121655882</v>
      </c>
      <c r="AX66">
        <v>99069066</v>
      </c>
    </row>
    <row r="67" spans="1:50" ht="14.5" x14ac:dyDescent="0.35">
      <c r="A67" s="72" t="s">
        <v>133</v>
      </c>
      <c r="B67" s="72" t="str">
        <f>VLOOKUP(Tabelle_Abfrage_von_MS_Access_Database3[[#This Row],[LAND]],Texte!$A$4:$C$261,Texte!$A$1+1,FALSE)</f>
        <v>Sudan</v>
      </c>
      <c r="C67" s="72" t="s">
        <v>508</v>
      </c>
      <c r="D67" s="72" t="s">
        <v>557</v>
      </c>
      <c r="E67" s="73">
        <v>5191000</v>
      </c>
      <c r="F67" s="73">
        <v>2659000</v>
      </c>
      <c r="G67" s="73">
        <v>1436000</v>
      </c>
      <c r="H67" s="73">
        <v>1687000</v>
      </c>
      <c r="I67" s="73">
        <v>420000</v>
      </c>
      <c r="J67" s="73">
        <v>1516000</v>
      </c>
      <c r="K67" s="73">
        <v>1250000</v>
      </c>
      <c r="L67" s="73">
        <v>1069000</v>
      </c>
      <c r="M67" s="73">
        <v>753000</v>
      </c>
      <c r="N67" s="73">
        <v>1624000</v>
      </c>
      <c r="O67" s="73">
        <v>1959000</v>
      </c>
      <c r="P67" s="73">
        <v>705000</v>
      </c>
      <c r="Q67" s="73">
        <v>381000</v>
      </c>
      <c r="R67" s="73">
        <v>1428000</v>
      </c>
      <c r="S67" s="73">
        <v>535000</v>
      </c>
      <c r="T67" s="73">
        <v>478000</v>
      </c>
      <c r="U67" s="73">
        <v>455000</v>
      </c>
      <c r="V67" s="73">
        <v>160827</v>
      </c>
      <c r="W67" s="73">
        <v>203408</v>
      </c>
      <c r="X67" s="73">
        <v>66060</v>
      </c>
      <c r="Y67" s="73">
        <v>86843</v>
      </c>
      <c r="Z67" s="73">
        <v>301447</v>
      </c>
      <c r="AA67" s="73">
        <v>426952</v>
      </c>
      <c r="AB67" s="73">
        <v>199574</v>
      </c>
      <c r="AC67" s="73">
        <v>67511</v>
      </c>
      <c r="AD67" s="73">
        <v>401518</v>
      </c>
      <c r="AE67" s="73">
        <v>463874</v>
      </c>
      <c r="AF67" s="73">
        <v>581295</v>
      </c>
      <c r="AG67" s="73">
        <v>486527</v>
      </c>
      <c r="AH67" s="73">
        <v>534883</v>
      </c>
      <c r="AI67" s="73">
        <v>946733</v>
      </c>
      <c r="AJ67" s="73">
        <v>389413</v>
      </c>
      <c r="AK67" s="73">
        <v>398329</v>
      </c>
      <c r="AL67" s="73">
        <v>305924</v>
      </c>
      <c r="AM67" s="73">
        <v>269403</v>
      </c>
      <c r="AN67" s="73">
        <v>182004</v>
      </c>
      <c r="AO67" s="73">
        <v>176046</v>
      </c>
      <c r="AP67" s="73">
        <v>134033</v>
      </c>
      <c r="AQ67" s="73">
        <v>136041</v>
      </c>
      <c r="AR67" s="73">
        <v>234569</v>
      </c>
      <c r="AS67" s="73">
        <v>263604</v>
      </c>
      <c r="AT67" s="73">
        <v>90846</v>
      </c>
      <c r="AU67" s="73">
        <v>164766</v>
      </c>
      <c r="AV67">
        <v>291968</v>
      </c>
      <c r="AW67">
        <v>597323</v>
      </c>
      <c r="AX67">
        <v>110503</v>
      </c>
    </row>
    <row r="68" spans="1:50" ht="14.5" x14ac:dyDescent="0.35">
      <c r="A68" s="72" t="s">
        <v>561</v>
      </c>
      <c r="B68" s="72" t="str">
        <f>VLOOKUP(Tabelle_Abfrage_von_MS_Access_Database3[[#This Row],[LAND]],Texte!$A$4:$C$261,Texte!$A$1+1,FALSE)</f>
        <v>Südsudan</v>
      </c>
      <c r="C68" s="72" t="s">
        <v>558</v>
      </c>
      <c r="D68" s="72" t="s">
        <v>557</v>
      </c>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3">
        <v>0</v>
      </c>
      <c r="AO68" s="73">
        <v>78764</v>
      </c>
      <c r="AP68" s="73">
        <v>425</v>
      </c>
      <c r="AQ68" s="73">
        <v>0</v>
      </c>
      <c r="AR68" s="73">
        <v>0</v>
      </c>
      <c r="AS68" s="73">
        <v>0</v>
      </c>
      <c r="AT68" s="73">
        <v>4619</v>
      </c>
      <c r="AU68" s="73">
        <v>7670</v>
      </c>
      <c r="AV68">
        <v>757</v>
      </c>
      <c r="AW68">
        <v>2520</v>
      </c>
      <c r="AX68">
        <v>8122</v>
      </c>
    </row>
    <row r="69" spans="1:50" ht="14.5" x14ac:dyDescent="0.35">
      <c r="A69" s="72" t="s">
        <v>135</v>
      </c>
      <c r="B69" s="72" t="str">
        <f>VLOOKUP(Tabelle_Abfrage_von_MS_Access_Database3[[#This Row],[LAND]],Texte!$A$4:$C$261,Texte!$A$1+1,FALSE)</f>
        <v>Mauretanien</v>
      </c>
      <c r="C69" s="72" t="s">
        <v>508</v>
      </c>
      <c r="D69" s="72" t="s">
        <v>557</v>
      </c>
      <c r="E69" s="73">
        <v>0</v>
      </c>
      <c r="F69" s="73">
        <v>0</v>
      </c>
      <c r="G69" s="73">
        <v>101000</v>
      </c>
      <c r="H69" s="73">
        <v>75000</v>
      </c>
      <c r="I69" s="73">
        <v>0</v>
      </c>
      <c r="J69" s="73">
        <v>0</v>
      </c>
      <c r="K69" s="73">
        <v>3000</v>
      </c>
      <c r="L69" s="73">
        <v>19000</v>
      </c>
      <c r="M69" s="73">
        <v>415000</v>
      </c>
      <c r="N69" s="73">
        <v>0</v>
      </c>
      <c r="O69" s="73">
        <v>0</v>
      </c>
      <c r="P69" s="73">
        <v>10000</v>
      </c>
      <c r="Q69" s="73">
        <v>29000</v>
      </c>
      <c r="R69" s="73">
        <v>15000</v>
      </c>
      <c r="S69" s="73">
        <v>7000</v>
      </c>
      <c r="T69" s="73">
        <v>9000</v>
      </c>
      <c r="U69" s="73">
        <v>10000</v>
      </c>
      <c r="V69" s="73">
        <v>10974</v>
      </c>
      <c r="W69" s="73">
        <v>23690</v>
      </c>
      <c r="X69" s="73">
        <v>145054</v>
      </c>
      <c r="Y69" s="73">
        <v>43675</v>
      </c>
      <c r="Z69" s="73">
        <v>7921</v>
      </c>
      <c r="AA69" s="73">
        <v>49854</v>
      </c>
      <c r="AB69" s="73">
        <v>45514</v>
      </c>
      <c r="AC69" s="73">
        <v>28362</v>
      </c>
      <c r="AD69" s="73">
        <v>16747</v>
      </c>
      <c r="AE69" s="73">
        <v>47296</v>
      </c>
      <c r="AF69" s="73">
        <v>16819</v>
      </c>
      <c r="AG69" s="73">
        <v>45602</v>
      </c>
      <c r="AH69" s="73">
        <v>7487</v>
      </c>
      <c r="AI69" s="73">
        <v>4989</v>
      </c>
      <c r="AJ69" s="73">
        <v>126712</v>
      </c>
      <c r="AK69" s="73">
        <v>10128</v>
      </c>
      <c r="AL69" s="73">
        <v>12131</v>
      </c>
      <c r="AM69" s="73">
        <v>26963</v>
      </c>
      <c r="AN69" s="73">
        <v>5066</v>
      </c>
      <c r="AO69" s="73">
        <v>13683</v>
      </c>
      <c r="AP69" s="73">
        <v>19113</v>
      </c>
      <c r="AQ69" s="73">
        <v>8834</v>
      </c>
      <c r="AR69" s="73">
        <v>36544</v>
      </c>
      <c r="AS69" s="73">
        <v>75973</v>
      </c>
      <c r="AT69" s="73">
        <v>23058</v>
      </c>
      <c r="AU69" s="73">
        <v>19569</v>
      </c>
      <c r="AV69">
        <v>215389</v>
      </c>
      <c r="AW69">
        <v>15638367</v>
      </c>
      <c r="AX69">
        <v>4475312</v>
      </c>
    </row>
    <row r="70" spans="1:50" ht="14.5" x14ac:dyDescent="0.35">
      <c r="A70" s="72" t="s">
        <v>563</v>
      </c>
      <c r="B70" s="72" t="str">
        <f>VLOOKUP(Tabelle_Abfrage_von_MS_Access_Database3[[#This Row],[LAND]],Texte!$A$4:$C$261,Texte!$A$1+1,FALSE)</f>
        <v>Westsahara</v>
      </c>
      <c r="C70" s="72" t="s">
        <v>558</v>
      </c>
      <c r="D70" s="72" t="s">
        <v>557</v>
      </c>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3">
        <v>0</v>
      </c>
      <c r="AO70" s="73">
        <v>1055</v>
      </c>
      <c r="AP70" s="74"/>
      <c r="AQ70" s="73">
        <v>6988</v>
      </c>
      <c r="AR70" s="73">
        <v>0</v>
      </c>
      <c r="AS70" s="73">
        <v>3424</v>
      </c>
      <c r="AT70" s="73">
        <v>5663</v>
      </c>
      <c r="AU70" s="74"/>
      <c r="AV70">
        <v>18755</v>
      </c>
      <c r="AW70">
        <v>350</v>
      </c>
      <c r="AX70">
        <v>212</v>
      </c>
    </row>
    <row r="71" spans="1:50" ht="14.5" x14ac:dyDescent="0.35">
      <c r="A71" s="72" t="s">
        <v>137</v>
      </c>
      <c r="B71" s="72" t="str">
        <f>VLOOKUP(Tabelle_Abfrage_von_MS_Access_Database3[[#This Row],[LAND]],Texte!$A$4:$C$261,Texte!$A$1+1,FALSE)</f>
        <v>Mali</v>
      </c>
      <c r="C71" s="72" t="s">
        <v>508</v>
      </c>
      <c r="D71" s="72" t="s">
        <v>557</v>
      </c>
      <c r="E71" s="73">
        <v>0</v>
      </c>
      <c r="F71" s="73">
        <v>9000</v>
      </c>
      <c r="G71" s="73">
        <v>11000</v>
      </c>
      <c r="H71" s="73">
        <v>18000</v>
      </c>
      <c r="I71" s="73">
        <v>0</v>
      </c>
      <c r="J71" s="73">
        <v>141000</v>
      </c>
      <c r="K71" s="73">
        <v>77000</v>
      </c>
      <c r="L71" s="73">
        <v>117000</v>
      </c>
      <c r="M71" s="73">
        <v>101000</v>
      </c>
      <c r="N71" s="73">
        <v>75000</v>
      </c>
      <c r="O71" s="73">
        <v>396000</v>
      </c>
      <c r="P71" s="73">
        <v>43000</v>
      </c>
      <c r="Q71" s="73">
        <v>149000</v>
      </c>
      <c r="R71" s="73">
        <v>18000</v>
      </c>
      <c r="S71" s="73">
        <v>45000</v>
      </c>
      <c r="T71" s="73">
        <v>1176000</v>
      </c>
      <c r="U71" s="73">
        <v>554000</v>
      </c>
      <c r="V71" s="73">
        <v>705144</v>
      </c>
      <c r="W71" s="73">
        <v>183935</v>
      </c>
      <c r="X71" s="73">
        <v>79505</v>
      </c>
      <c r="Y71" s="73">
        <v>298177</v>
      </c>
      <c r="Z71" s="73">
        <v>385890</v>
      </c>
      <c r="AA71" s="73">
        <v>313804</v>
      </c>
      <c r="AB71" s="73">
        <v>252403</v>
      </c>
      <c r="AC71" s="73">
        <v>1776694</v>
      </c>
      <c r="AD71" s="73">
        <v>608625</v>
      </c>
      <c r="AE71" s="73">
        <v>72569</v>
      </c>
      <c r="AF71" s="73">
        <v>1646341</v>
      </c>
      <c r="AG71" s="73">
        <v>1522637</v>
      </c>
      <c r="AH71" s="73">
        <v>195184</v>
      </c>
      <c r="AI71" s="73">
        <v>78102</v>
      </c>
      <c r="AJ71" s="73">
        <v>96718</v>
      </c>
      <c r="AK71" s="73">
        <v>49345</v>
      </c>
      <c r="AL71" s="73">
        <v>1149305</v>
      </c>
      <c r="AM71" s="73">
        <v>742727</v>
      </c>
      <c r="AN71" s="73">
        <v>2513199</v>
      </c>
      <c r="AO71" s="73">
        <v>81979</v>
      </c>
      <c r="AP71" s="73">
        <v>274614</v>
      </c>
      <c r="AQ71" s="73">
        <v>242731</v>
      </c>
      <c r="AR71" s="73">
        <v>326927</v>
      </c>
      <c r="AS71" s="73">
        <v>366661</v>
      </c>
      <c r="AT71" s="73">
        <v>122691</v>
      </c>
      <c r="AU71" s="73">
        <v>197630</v>
      </c>
      <c r="AV71">
        <v>151710</v>
      </c>
      <c r="AW71">
        <v>566270</v>
      </c>
      <c r="AX71">
        <v>454114</v>
      </c>
    </row>
    <row r="72" spans="1:50" ht="14.5" x14ac:dyDescent="0.35">
      <c r="A72" s="72" t="s">
        <v>139</v>
      </c>
      <c r="B72" s="72" t="str">
        <f>VLOOKUP(Tabelle_Abfrage_von_MS_Access_Database3[[#This Row],[LAND]],Texte!$A$4:$C$261,Texte!$A$1+1,FALSE)</f>
        <v>Burkina Faso</v>
      </c>
      <c r="C72" s="72" t="s">
        <v>508</v>
      </c>
      <c r="D72" s="72" t="s">
        <v>557</v>
      </c>
      <c r="E72" s="73">
        <v>4000</v>
      </c>
      <c r="F72" s="73">
        <v>7000</v>
      </c>
      <c r="G72" s="73">
        <v>3000</v>
      </c>
      <c r="H72" s="73">
        <v>583000</v>
      </c>
      <c r="I72" s="73">
        <v>292000</v>
      </c>
      <c r="J72" s="73">
        <v>24000</v>
      </c>
      <c r="K72" s="73">
        <v>15000</v>
      </c>
      <c r="L72" s="73">
        <v>22000</v>
      </c>
      <c r="M72" s="73">
        <v>16000</v>
      </c>
      <c r="N72" s="73">
        <v>17000</v>
      </c>
      <c r="O72" s="73">
        <v>94000</v>
      </c>
      <c r="P72" s="73">
        <v>79000</v>
      </c>
      <c r="Q72" s="73">
        <v>15000</v>
      </c>
      <c r="R72" s="73">
        <v>603000</v>
      </c>
      <c r="S72" s="73">
        <v>86000</v>
      </c>
      <c r="T72" s="73">
        <v>20000</v>
      </c>
      <c r="U72" s="73">
        <v>718000</v>
      </c>
      <c r="V72" s="73">
        <v>187133</v>
      </c>
      <c r="W72" s="73">
        <v>32919</v>
      </c>
      <c r="X72" s="73">
        <v>501225</v>
      </c>
      <c r="Y72" s="73">
        <v>1332529</v>
      </c>
      <c r="Z72" s="73">
        <v>349920</v>
      </c>
      <c r="AA72" s="73">
        <v>519465</v>
      </c>
      <c r="AB72" s="73">
        <v>232439</v>
      </c>
      <c r="AC72" s="73">
        <v>198722</v>
      </c>
      <c r="AD72" s="73">
        <v>329980</v>
      </c>
      <c r="AE72" s="73">
        <v>342846</v>
      </c>
      <c r="AF72" s="73">
        <v>1287203</v>
      </c>
      <c r="AG72" s="73">
        <v>1174650</v>
      </c>
      <c r="AH72" s="73">
        <v>487719</v>
      </c>
      <c r="AI72" s="73">
        <v>435264</v>
      </c>
      <c r="AJ72" s="73">
        <v>446412</v>
      </c>
      <c r="AK72" s="73">
        <v>576680</v>
      </c>
      <c r="AL72" s="73">
        <v>432643</v>
      </c>
      <c r="AM72" s="73">
        <v>795887</v>
      </c>
      <c r="AN72" s="73">
        <v>948581</v>
      </c>
      <c r="AO72" s="73">
        <v>1560146</v>
      </c>
      <c r="AP72" s="73">
        <v>1535555</v>
      </c>
      <c r="AQ72" s="73">
        <v>1837259</v>
      </c>
      <c r="AR72" s="73">
        <v>1268124</v>
      </c>
      <c r="AS72" s="73">
        <v>2276692</v>
      </c>
      <c r="AT72" s="73">
        <v>5910825</v>
      </c>
      <c r="AU72" s="73">
        <v>2364119</v>
      </c>
      <c r="AV72">
        <v>1596759</v>
      </c>
      <c r="AW72">
        <v>2032021</v>
      </c>
      <c r="AX72">
        <v>3491092</v>
      </c>
    </row>
    <row r="73" spans="1:50" ht="14.5" x14ac:dyDescent="0.35">
      <c r="A73" s="72" t="s">
        <v>141</v>
      </c>
      <c r="B73" s="72" t="str">
        <f>VLOOKUP(Tabelle_Abfrage_von_MS_Access_Database3[[#This Row],[LAND]],Texte!$A$4:$C$261,Texte!$A$1+1,FALSE)</f>
        <v>Niger</v>
      </c>
      <c r="C73" s="72" t="s">
        <v>509</v>
      </c>
      <c r="D73" s="72" t="s">
        <v>557</v>
      </c>
      <c r="E73" s="73">
        <v>0</v>
      </c>
      <c r="F73" s="73">
        <v>0</v>
      </c>
      <c r="G73" s="73">
        <v>9000</v>
      </c>
      <c r="H73" s="73">
        <v>0</v>
      </c>
      <c r="I73" s="73">
        <v>0</v>
      </c>
      <c r="J73" s="73">
        <v>0</v>
      </c>
      <c r="K73" s="73">
        <v>1000</v>
      </c>
      <c r="L73" s="73">
        <v>2000</v>
      </c>
      <c r="M73" s="73">
        <v>0</v>
      </c>
      <c r="N73" s="73">
        <v>1000</v>
      </c>
      <c r="O73" s="73">
        <v>291000</v>
      </c>
      <c r="P73" s="73">
        <v>379000</v>
      </c>
      <c r="Q73" s="73">
        <v>145000</v>
      </c>
      <c r="R73" s="73">
        <v>274000</v>
      </c>
      <c r="S73" s="73">
        <v>256000</v>
      </c>
      <c r="T73" s="73">
        <v>33000</v>
      </c>
      <c r="U73" s="73">
        <v>320000</v>
      </c>
      <c r="V73" s="73">
        <v>2441882</v>
      </c>
      <c r="W73" s="73">
        <v>263146</v>
      </c>
      <c r="X73" s="73">
        <v>923453</v>
      </c>
      <c r="Y73" s="73">
        <v>168019</v>
      </c>
      <c r="Z73" s="73">
        <v>89968</v>
      </c>
      <c r="AA73" s="73">
        <v>371940</v>
      </c>
      <c r="AB73" s="73">
        <v>120987</v>
      </c>
      <c r="AC73" s="73">
        <v>348905</v>
      </c>
      <c r="AD73" s="73">
        <v>204977</v>
      </c>
      <c r="AE73" s="73">
        <v>6207</v>
      </c>
      <c r="AF73" s="73">
        <v>3412</v>
      </c>
      <c r="AG73" s="73">
        <v>7238</v>
      </c>
      <c r="AH73" s="73">
        <v>5093</v>
      </c>
      <c r="AI73" s="73">
        <v>53205</v>
      </c>
      <c r="AJ73" s="73">
        <v>81196</v>
      </c>
      <c r="AK73" s="73">
        <v>23977</v>
      </c>
      <c r="AL73" s="73">
        <v>21743</v>
      </c>
      <c r="AM73" s="73">
        <v>61686</v>
      </c>
      <c r="AN73" s="73">
        <v>40079</v>
      </c>
      <c r="AO73" s="73">
        <v>47331</v>
      </c>
      <c r="AP73" s="73">
        <v>223614</v>
      </c>
      <c r="AQ73" s="73">
        <v>382677</v>
      </c>
      <c r="AR73" s="73">
        <v>141077</v>
      </c>
      <c r="AS73" s="73">
        <v>137148</v>
      </c>
      <c r="AT73" s="73">
        <v>104951</v>
      </c>
      <c r="AU73" s="73">
        <v>90400</v>
      </c>
      <c r="AV73">
        <v>167499</v>
      </c>
      <c r="AW73">
        <v>1421177</v>
      </c>
      <c r="AX73">
        <v>1580445</v>
      </c>
    </row>
    <row r="74" spans="1:50" ht="14.5" x14ac:dyDescent="0.35">
      <c r="A74" s="72" t="s">
        <v>143</v>
      </c>
      <c r="B74" s="72" t="str">
        <f>VLOOKUP(Tabelle_Abfrage_von_MS_Access_Database3[[#This Row],[LAND]],Texte!$A$4:$C$261,Texte!$A$1+1,FALSE)</f>
        <v>Tschad</v>
      </c>
      <c r="C74" s="72" t="s">
        <v>508</v>
      </c>
      <c r="D74" s="72" t="s">
        <v>557</v>
      </c>
      <c r="E74" s="73">
        <v>0</v>
      </c>
      <c r="F74" s="73">
        <v>98000</v>
      </c>
      <c r="G74" s="73">
        <v>454000</v>
      </c>
      <c r="H74" s="73">
        <v>1889000</v>
      </c>
      <c r="I74" s="73">
        <v>1320000</v>
      </c>
      <c r="J74" s="73">
        <v>979000</v>
      </c>
      <c r="K74" s="73">
        <v>1557000</v>
      </c>
      <c r="L74" s="73">
        <v>775000</v>
      </c>
      <c r="M74" s="73">
        <v>255000</v>
      </c>
      <c r="N74" s="73">
        <v>264000</v>
      </c>
      <c r="O74" s="73">
        <v>1169000</v>
      </c>
      <c r="P74" s="73">
        <v>1775000</v>
      </c>
      <c r="Q74" s="73">
        <v>2143000</v>
      </c>
      <c r="R74" s="73">
        <v>816000</v>
      </c>
      <c r="S74" s="73">
        <v>735000</v>
      </c>
      <c r="T74" s="73">
        <v>331000</v>
      </c>
      <c r="U74" s="73">
        <v>0</v>
      </c>
      <c r="V74" s="73">
        <v>136334</v>
      </c>
      <c r="W74" s="73">
        <v>1039730</v>
      </c>
      <c r="X74" s="73">
        <v>836029</v>
      </c>
      <c r="Y74" s="73">
        <v>3883710</v>
      </c>
      <c r="Z74" s="73">
        <v>4924748</v>
      </c>
      <c r="AA74" s="73">
        <v>2364701</v>
      </c>
      <c r="AB74" s="73">
        <v>670860</v>
      </c>
      <c r="AC74" s="73">
        <v>45243</v>
      </c>
      <c r="AD74" s="73">
        <v>191459</v>
      </c>
      <c r="AE74" s="73">
        <v>118730</v>
      </c>
      <c r="AF74" s="73">
        <v>2848</v>
      </c>
      <c r="AG74" s="73">
        <v>9560</v>
      </c>
      <c r="AH74" s="73">
        <v>47818</v>
      </c>
      <c r="AI74" s="73">
        <v>956</v>
      </c>
      <c r="AJ74" s="73">
        <v>2181</v>
      </c>
      <c r="AK74" s="73">
        <v>30692</v>
      </c>
      <c r="AL74" s="73">
        <v>209</v>
      </c>
      <c r="AM74" s="73">
        <v>37216</v>
      </c>
      <c r="AN74" s="73">
        <v>42210</v>
      </c>
      <c r="AO74" s="73">
        <v>127045</v>
      </c>
      <c r="AP74" s="73">
        <v>378635</v>
      </c>
      <c r="AQ74" s="73">
        <v>1088699</v>
      </c>
      <c r="AR74" s="73">
        <v>270062</v>
      </c>
      <c r="AS74" s="73">
        <v>227961</v>
      </c>
      <c r="AT74" s="73">
        <v>810</v>
      </c>
      <c r="AU74" s="73">
        <v>100955</v>
      </c>
      <c r="AV74">
        <v>872200</v>
      </c>
      <c r="AW74">
        <v>803808</v>
      </c>
      <c r="AX74">
        <v>645047</v>
      </c>
    </row>
    <row r="75" spans="1:50" ht="14.5" x14ac:dyDescent="0.35">
      <c r="A75" s="72" t="s">
        <v>145</v>
      </c>
      <c r="B75" s="72" t="str">
        <f>VLOOKUP(Tabelle_Abfrage_von_MS_Access_Database3[[#This Row],[LAND]],Texte!$A$4:$C$261,Texte!$A$1+1,FALSE)</f>
        <v>Kap Verde</v>
      </c>
      <c r="C75" s="72" t="s">
        <v>508</v>
      </c>
      <c r="D75" s="72" t="s">
        <v>557</v>
      </c>
      <c r="E75" s="73">
        <v>1854000</v>
      </c>
      <c r="F75" s="73">
        <v>979000</v>
      </c>
      <c r="G75" s="73">
        <v>5000</v>
      </c>
      <c r="H75" s="73">
        <v>0</v>
      </c>
      <c r="I75" s="73">
        <v>0</v>
      </c>
      <c r="J75" s="73">
        <v>0</v>
      </c>
      <c r="K75" s="73">
        <v>25000</v>
      </c>
      <c r="L75" s="73">
        <v>4000</v>
      </c>
      <c r="M75" s="73">
        <v>11000</v>
      </c>
      <c r="N75" s="73">
        <v>0</v>
      </c>
      <c r="O75" s="73">
        <v>91000</v>
      </c>
      <c r="P75" s="73">
        <v>10000</v>
      </c>
      <c r="Q75" s="73">
        <v>2000</v>
      </c>
      <c r="R75" s="73">
        <v>0</v>
      </c>
      <c r="S75" s="73">
        <v>7000</v>
      </c>
      <c r="T75" s="73">
        <v>1000</v>
      </c>
      <c r="U75" s="73">
        <v>0</v>
      </c>
      <c r="V75" s="73">
        <v>0</v>
      </c>
      <c r="W75" s="73">
        <v>0</v>
      </c>
      <c r="X75" s="73">
        <v>40696</v>
      </c>
      <c r="Y75" s="73">
        <v>35755</v>
      </c>
      <c r="Z75" s="73">
        <v>30303</v>
      </c>
      <c r="AA75" s="73">
        <v>6031</v>
      </c>
      <c r="AB75" s="73">
        <v>57325</v>
      </c>
      <c r="AC75" s="73">
        <v>9641</v>
      </c>
      <c r="AD75" s="73">
        <v>1895</v>
      </c>
      <c r="AE75" s="73">
        <v>6744</v>
      </c>
      <c r="AF75" s="73">
        <v>32795</v>
      </c>
      <c r="AG75" s="73">
        <v>12932</v>
      </c>
      <c r="AH75" s="73">
        <v>211524</v>
      </c>
      <c r="AI75" s="73">
        <v>1907</v>
      </c>
      <c r="AJ75" s="73">
        <v>10899</v>
      </c>
      <c r="AK75" s="73">
        <v>773</v>
      </c>
      <c r="AL75" s="73">
        <v>6495</v>
      </c>
      <c r="AM75" s="73">
        <v>6704</v>
      </c>
      <c r="AN75" s="73">
        <v>81186</v>
      </c>
      <c r="AO75" s="73">
        <v>4256</v>
      </c>
      <c r="AP75" s="73">
        <v>6507</v>
      </c>
      <c r="AQ75" s="73">
        <v>11101</v>
      </c>
      <c r="AR75" s="73">
        <v>10966</v>
      </c>
      <c r="AS75" s="73">
        <v>11272</v>
      </c>
      <c r="AT75" s="73">
        <v>10378</v>
      </c>
      <c r="AU75" s="73">
        <v>916</v>
      </c>
      <c r="AV75">
        <v>6350</v>
      </c>
      <c r="AW75">
        <v>83915</v>
      </c>
      <c r="AX75">
        <v>55485</v>
      </c>
    </row>
    <row r="76" spans="1:50" ht="14.5" x14ac:dyDescent="0.35">
      <c r="A76" s="72" t="s">
        <v>147</v>
      </c>
      <c r="B76" s="72" t="str">
        <f>VLOOKUP(Tabelle_Abfrage_von_MS_Access_Database3[[#This Row],[LAND]],Texte!$A$4:$C$261,Texte!$A$1+1,FALSE)</f>
        <v>Senegal</v>
      </c>
      <c r="C76" s="72" t="s">
        <v>508</v>
      </c>
      <c r="D76" s="72" t="s">
        <v>557</v>
      </c>
      <c r="E76" s="73">
        <v>272000</v>
      </c>
      <c r="F76" s="73">
        <v>234000</v>
      </c>
      <c r="G76" s="73">
        <v>520000</v>
      </c>
      <c r="H76" s="73">
        <v>421000</v>
      </c>
      <c r="I76" s="73">
        <v>232000</v>
      </c>
      <c r="J76" s="73">
        <v>263000</v>
      </c>
      <c r="K76" s="73">
        <v>202000</v>
      </c>
      <c r="L76" s="73">
        <v>256000</v>
      </c>
      <c r="M76" s="73">
        <v>173000</v>
      </c>
      <c r="N76" s="73">
        <v>165000</v>
      </c>
      <c r="O76" s="73">
        <v>238000</v>
      </c>
      <c r="P76" s="73">
        <v>314000</v>
      </c>
      <c r="Q76" s="73">
        <v>469000</v>
      </c>
      <c r="R76" s="73">
        <v>597000</v>
      </c>
      <c r="S76" s="73">
        <v>901000</v>
      </c>
      <c r="T76" s="73">
        <v>446000</v>
      </c>
      <c r="U76" s="73">
        <v>245000</v>
      </c>
      <c r="V76" s="73">
        <v>37281</v>
      </c>
      <c r="W76" s="73">
        <v>110825</v>
      </c>
      <c r="X76" s="73">
        <v>134881</v>
      </c>
      <c r="Y76" s="73">
        <v>204792</v>
      </c>
      <c r="Z76" s="73">
        <v>62717</v>
      </c>
      <c r="AA76" s="73">
        <v>230008</v>
      </c>
      <c r="AB76" s="73">
        <v>106509</v>
      </c>
      <c r="AC76" s="73">
        <v>245141</v>
      </c>
      <c r="AD76" s="73">
        <v>420388</v>
      </c>
      <c r="AE76" s="73">
        <v>296373</v>
      </c>
      <c r="AF76" s="73">
        <v>194492</v>
      </c>
      <c r="AG76" s="73">
        <v>480113</v>
      </c>
      <c r="AH76" s="73">
        <v>640960</v>
      </c>
      <c r="AI76" s="73">
        <v>652268</v>
      </c>
      <c r="AJ76" s="73">
        <v>258593</v>
      </c>
      <c r="AK76" s="73">
        <v>255679</v>
      </c>
      <c r="AL76" s="73">
        <v>384392</v>
      </c>
      <c r="AM76" s="73">
        <v>259916</v>
      </c>
      <c r="AN76" s="73">
        <v>463937</v>
      </c>
      <c r="AO76" s="73">
        <v>509312</v>
      </c>
      <c r="AP76" s="73">
        <v>1413024</v>
      </c>
      <c r="AQ76" s="73">
        <v>532477</v>
      </c>
      <c r="AR76" s="73">
        <v>969148</v>
      </c>
      <c r="AS76" s="73">
        <v>1385847</v>
      </c>
      <c r="AT76" s="73">
        <v>845806</v>
      </c>
      <c r="AU76" s="73">
        <v>846104</v>
      </c>
      <c r="AV76">
        <v>480691</v>
      </c>
      <c r="AW76">
        <v>493924</v>
      </c>
      <c r="AX76">
        <v>891333</v>
      </c>
    </row>
    <row r="77" spans="1:50" ht="14.5" x14ac:dyDescent="0.35">
      <c r="A77" s="72" t="s">
        <v>149</v>
      </c>
      <c r="B77" s="72" t="str">
        <f>VLOOKUP(Tabelle_Abfrage_von_MS_Access_Database3[[#This Row],[LAND]],Texte!$A$4:$C$261,Texte!$A$1+1,FALSE)</f>
        <v>Gambia</v>
      </c>
      <c r="C77" s="72" t="s">
        <v>508</v>
      </c>
      <c r="D77" s="72" t="s">
        <v>557</v>
      </c>
      <c r="E77" s="73">
        <v>335000</v>
      </c>
      <c r="F77" s="73">
        <v>153000</v>
      </c>
      <c r="G77" s="73">
        <v>194000</v>
      </c>
      <c r="H77" s="73">
        <v>0</v>
      </c>
      <c r="I77" s="73">
        <v>10000</v>
      </c>
      <c r="J77" s="73">
        <v>5000</v>
      </c>
      <c r="K77" s="73">
        <v>5000</v>
      </c>
      <c r="L77" s="73">
        <v>4000</v>
      </c>
      <c r="M77" s="73">
        <v>49000</v>
      </c>
      <c r="N77" s="73">
        <v>18000</v>
      </c>
      <c r="O77" s="73">
        <v>102000</v>
      </c>
      <c r="P77" s="73">
        <v>48000</v>
      </c>
      <c r="Q77" s="73">
        <v>2000</v>
      </c>
      <c r="R77" s="73">
        <v>1000</v>
      </c>
      <c r="S77" s="73">
        <v>62000</v>
      </c>
      <c r="T77" s="73">
        <v>47000</v>
      </c>
      <c r="U77" s="73">
        <v>34000</v>
      </c>
      <c r="V77" s="73">
        <v>2616</v>
      </c>
      <c r="W77" s="73">
        <v>1672</v>
      </c>
      <c r="X77" s="73">
        <v>5813</v>
      </c>
      <c r="Y77" s="73">
        <v>23328</v>
      </c>
      <c r="Z77" s="73">
        <v>18533</v>
      </c>
      <c r="AA77" s="73">
        <v>7340</v>
      </c>
      <c r="AB77" s="73">
        <v>25833</v>
      </c>
      <c r="AC77" s="73">
        <v>10104</v>
      </c>
      <c r="AD77" s="73">
        <v>46868</v>
      </c>
      <c r="AE77" s="73">
        <v>59505</v>
      </c>
      <c r="AF77" s="73">
        <v>31458</v>
      </c>
      <c r="AG77" s="73">
        <v>10832</v>
      </c>
      <c r="AH77" s="73">
        <v>14808</v>
      </c>
      <c r="AI77" s="73">
        <v>67949</v>
      </c>
      <c r="AJ77" s="73">
        <v>33129</v>
      </c>
      <c r="AK77" s="73">
        <v>24</v>
      </c>
      <c r="AL77" s="73">
        <v>8425</v>
      </c>
      <c r="AM77" s="73">
        <v>21971</v>
      </c>
      <c r="AN77" s="73">
        <v>10155</v>
      </c>
      <c r="AO77" s="73">
        <v>46863</v>
      </c>
      <c r="AP77" s="73">
        <v>7014</v>
      </c>
      <c r="AQ77" s="73">
        <v>7012</v>
      </c>
      <c r="AR77" s="73">
        <v>19199</v>
      </c>
      <c r="AS77" s="73">
        <v>12878</v>
      </c>
      <c r="AT77" s="73">
        <v>17061</v>
      </c>
      <c r="AU77" s="73">
        <v>3845</v>
      </c>
      <c r="AV77">
        <v>16093</v>
      </c>
      <c r="AW77">
        <v>8367</v>
      </c>
      <c r="AX77">
        <v>12824</v>
      </c>
    </row>
    <row r="78" spans="1:50" ht="14.5" x14ac:dyDescent="0.35">
      <c r="A78" s="72" t="s">
        <v>151</v>
      </c>
      <c r="B78" s="72" t="str">
        <f>VLOOKUP(Tabelle_Abfrage_von_MS_Access_Database3[[#This Row],[LAND]],Texte!$A$4:$C$261,Texte!$A$1+1,FALSE)</f>
        <v>Guinea-Bissau</v>
      </c>
      <c r="C78" s="72" t="s">
        <v>508</v>
      </c>
      <c r="D78" s="72" t="s">
        <v>557</v>
      </c>
      <c r="E78" s="73">
        <v>343000</v>
      </c>
      <c r="F78" s="73">
        <v>19000</v>
      </c>
      <c r="G78" s="73">
        <v>13000</v>
      </c>
      <c r="H78" s="73">
        <v>1000</v>
      </c>
      <c r="I78" s="73">
        <v>0</v>
      </c>
      <c r="J78" s="73">
        <v>44000</v>
      </c>
      <c r="K78" s="73">
        <v>0</v>
      </c>
      <c r="L78" s="73">
        <v>0</v>
      </c>
      <c r="M78" s="73">
        <v>0</v>
      </c>
      <c r="N78" s="73">
        <v>50000</v>
      </c>
      <c r="O78" s="73">
        <v>4000</v>
      </c>
      <c r="P78" s="73">
        <v>34000</v>
      </c>
      <c r="Q78" s="73">
        <v>0</v>
      </c>
      <c r="R78" s="73">
        <v>0</v>
      </c>
      <c r="S78" s="73">
        <v>17000</v>
      </c>
      <c r="T78" s="73">
        <v>28000</v>
      </c>
      <c r="U78" s="73">
        <v>70000</v>
      </c>
      <c r="V78" s="73">
        <v>324702</v>
      </c>
      <c r="W78" s="73">
        <v>145</v>
      </c>
      <c r="X78" s="73">
        <v>0</v>
      </c>
      <c r="Y78" s="73">
        <v>295561</v>
      </c>
      <c r="Z78" s="73">
        <v>8430</v>
      </c>
      <c r="AA78" s="73">
        <v>1381</v>
      </c>
      <c r="AB78" s="73">
        <v>18103</v>
      </c>
      <c r="AC78" s="73">
        <v>0</v>
      </c>
      <c r="AD78" s="73">
        <v>15757</v>
      </c>
      <c r="AE78" s="73">
        <v>1640</v>
      </c>
      <c r="AF78" s="73">
        <v>11</v>
      </c>
      <c r="AG78" s="73">
        <v>15</v>
      </c>
      <c r="AH78" s="73">
        <v>0</v>
      </c>
      <c r="AI78" s="73">
        <v>5062</v>
      </c>
      <c r="AJ78" s="73">
        <v>5033</v>
      </c>
      <c r="AK78" s="73">
        <v>2224</v>
      </c>
      <c r="AL78" s="73">
        <v>0</v>
      </c>
      <c r="AM78" s="73">
        <v>0</v>
      </c>
      <c r="AN78" s="73">
        <v>0</v>
      </c>
      <c r="AO78" s="73">
        <v>46347</v>
      </c>
      <c r="AP78" s="73">
        <v>0</v>
      </c>
      <c r="AQ78" s="73">
        <v>0</v>
      </c>
      <c r="AR78" s="73">
        <v>27</v>
      </c>
      <c r="AS78" s="73">
        <v>0</v>
      </c>
      <c r="AT78" s="73">
        <v>116</v>
      </c>
      <c r="AU78" s="73">
        <v>101109</v>
      </c>
      <c r="AV78">
        <v>46756</v>
      </c>
      <c r="AW78">
        <v>385285</v>
      </c>
      <c r="AX78">
        <v>213394</v>
      </c>
    </row>
    <row r="79" spans="1:50" ht="14.5" x14ac:dyDescent="0.35">
      <c r="A79" s="72" t="s">
        <v>153</v>
      </c>
      <c r="B79" s="72" t="str">
        <f>VLOOKUP(Tabelle_Abfrage_von_MS_Access_Database3[[#This Row],[LAND]],Texte!$A$4:$C$261,Texte!$A$1+1,FALSE)</f>
        <v>Guinea</v>
      </c>
      <c r="C79" s="72" t="s">
        <v>508</v>
      </c>
      <c r="D79" s="72" t="s">
        <v>557</v>
      </c>
      <c r="E79" s="73">
        <v>2313000</v>
      </c>
      <c r="F79" s="73">
        <v>2133000</v>
      </c>
      <c r="G79" s="73">
        <v>1894000</v>
      </c>
      <c r="H79" s="73">
        <v>3637000</v>
      </c>
      <c r="I79" s="73">
        <v>2869000</v>
      </c>
      <c r="J79" s="73">
        <v>3262000</v>
      </c>
      <c r="K79" s="73">
        <v>3841000</v>
      </c>
      <c r="L79" s="73">
        <v>5333000</v>
      </c>
      <c r="M79" s="73">
        <v>3535000</v>
      </c>
      <c r="N79" s="73">
        <v>2119000</v>
      </c>
      <c r="O79" s="73">
        <v>2763000</v>
      </c>
      <c r="P79" s="73">
        <v>2166000</v>
      </c>
      <c r="Q79" s="73">
        <v>2471000</v>
      </c>
      <c r="R79" s="73">
        <v>2249000</v>
      </c>
      <c r="S79" s="73">
        <v>2318000</v>
      </c>
      <c r="T79" s="73">
        <v>1938000</v>
      </c>
      <c r="U79" s="73">
        <v>2417000</v>
      </c>
      <c r="V79" s="73">
        <v>609579</v>
      </c>
      <c r="W79" s="73">
        <v>1206513</v>
      </c>
      <c r="X79" s="73">
        <v>2022049</v>
      </c>
      <c r="Y79" s="73">
        <v>2023721</v>
      </c>
      <c r="Z79" s="73">
        <v>1774161</v>
      </c>
      <c r="AA79" s="73">
        <v>2064998</v>
      </c>
      <c r="AB79" s="73">
        <v>1000771</v>
      </c>
      <c r="AC79" s="73">
        <v>1322852</v>
      </c>
      <c r="AD79" s="73">
        <v>752837</v>
      </c>
      <c r="AE79" s="73">
        <v>999765</v>
      </c>
      <c r="AF79" s="73">
        <v>1910242</v>
      </c>
      <c r="AG79" s="73">
        <v>1342727</v>
      </c>
      <c r="AH79" s="73">
        <v>1277466</v>
      </c>
      <c r="AI79" s="73">
        <v>1168618</v>
      </c>
      <c r="AJ79" s="73">
        <v>176357</v>
      </c>
      <c r="AK79" s="73">
        <v>260155</v>
      </c>
      <c r="AL79" s="73">
        <v>19563</v>
      </c>
      <c r="AM79" s="73">
        <v>143708</v>
      </c>
      <c r="AN79" s="73">
        <v>107993</v>
      </c>
      <c r="AO79" s="73">
        <v>77979</v>
      </c>
      <c r="AP79" s="73">
        <v>115935</v>
      </c>
      <c r="AQ79" s="73">
        <v>113065</v>
      </c>
      <c r="AR79" s="73">
        <v>313226</v>
      </c>
      <c r="AS79" s="73">
        <v>6958</v>
      </c>
      <c r="AT79" s="73">
        <v>25491</v>
      </c>
      <c r="AU79" s="73">
        <v>50749</v>
      </c>
      <c r="AV79">
        <v>64630</v>
      </c>
      <c r="AW79">
        <v>959489</v>
      </c>
      <c r="AX79">
        <v>5158577</v>
      </c>
    </row>
    <row r="80" spans="1:50" ht="14.5" x14ac:dyDescent="0.35">
      <c r="A80" s="72" t="s">
        <v>155</v>
      </c>
      <c r="B80" s="72" t="str">
        <f>VLOOKUP(Tabelle_Abfrage_von_MS_Access_Database3[[#This Row],[LAND]],Texte!$A$4:$C$261,Texte!$A$1+1,FALSE)</f>
        <v>Sierra Leone</v>
      </c>
      <c r="C80" s="72" t="s">
        <v>508</v>
      </c>
      <c r="D80" s="72" t="s">
        <v>557</v>
      </c>
      <c r="E80" s="73">
        <v>18000</v>
      </c>
      <c r="F80" s="73">
        <v>18000</v>
      </c>
      <c r="G80" s="73">
        <v>45000</v>
      </c>
      <c r="H80" s="73">
        <v>9000</v>
      </c>
      <c r="I80" s="73">
        <v>11000</v>
      </c>
      <c r="J80" s="73">
        <v>1585000</v>
      </c>
      <c r="K80" s="73">
        <v>12201000</v>
      </c>
      <c r="L80" s="73">
        <v>3864000</v>
      </c>
      <c r="M80" s="73">
        <v>145000</v>
      </c>
      <c r="N80" s="73">
        <v>9000</v>
      </c>
      <c r="O80" s="73">
        <v>342000</v>
      </c>
      <c r="P80" s="73">
        <v>90000</v>
      </c>
      <c r="Q80" s="73">
        <v>5000</v>
      </c>
      <c r="R80" s="73">
        <v>290000</v>
      </c>
      <c r="S80" s="73">
        <v>988000</v>
      </c>
      <c r="T80" s="73">
        <v>151000</v>
      </c>
      <c r="U80" s="73">
        <v>85000</v>
      </c>
      <c r="V80" s="73">
        <v>698821</v>
      </c>
      <c r="W80" s="73">
        <v>2669121</v>
      </c>
      <c r="X80" s="73">
        <v>3206619</v>
      </c>
      <c r="Y80" s="73">
        <v>4640812</v>
      </c>
      <c r="Z80" s="73">
        <v>4110592</v>
      </c>
      <c r="AA80" s="73">
        <v>1910212</v>
      </c>
      <c r="AB80" s="73">
        <v>1859907</v>
      </c>
      <c r="AC80" s="73">
        <v>557816</v>
      </c>
      <c r="AD80" s="73">
        <v>831964</v>
      </c>
      <c r="AE80" s="73">
        <v>86350</v>
      </c>
      <c r="AF80" s="73">
        <v>9473</v>
      </c>
      <c r="AG80" s="73">
        <v>70137</v>
      </c>
      <c r="AH80" s="73">
        <v>97627</v>
      </c>
      <c r="AI80" s="73">
        <v>18702</v>
      </c>
      <c r="AJ80" s="73">
        <v>44196</v>
      </c>
      <c r="AK80" s="73">
        <v>35977</v>
      </c>
      <c r="AL80" s="73">
        <v>32630</v>
      </c>
      <c r="AM80" s="73">
        <v>6369</v>
      </c>
      <c r="AN80" s="73">
        <v>299632</v>
      </c>
      <c r="AO80" s="73">
        <v>5030000</v>
      </c>
      <c r="AP80" s="73">
        <v>10309676</v>
      </c>
      <c r="AQ80" s="73">
        <v>18527640</v>
      </c>
      <c r="AR80" s="73">
        <v>11199288</v>
      </c>
      <c r="AS80" s="73">
        <v>14495218</v>
      </c>
      <c r="AT80" s="73">
        <v>1848400</v>
      </c>
      <c r="AU80" s="73">
        <v>4387621</v>
      </c>
      <c r="AV80">
        <v>4795417</v>
      </c>
      <c r="AW80">
        <v>5933698</v>
      </c>
      <c r="AX80">
        <v>4618473</v>
      </c>
    </row>
    <row r="81" spans="1:50" ht="14.5" x14ac:dyDescent="0.35">
      <c r="A81" s="72" t="s">
        <v>157</v>
      </c>
      <c r="B81" s="72" t="str">
        <f>VLOOKUP(Tabelle_Abfrage_von_MS_Access_Database3[[#This Row],[LAND]],Texte!$A$4:$C$261,Texte!$A$1+1,FALSE)</f>
        <v>Liberia</v>
      </c>
      <c r="C81" s="72" t="s">
        <v>508</v>
      </c>
      <c r="D81" s="72" t="s">
        <v>557</v>
      </c>
      <c r="E81" s="73">
        <v>10948000</v>
      </c>
      <c r="F81" s="73">
        <v>12104000</v>
      </c>
      <c r="G81" s="73">
        <v>2628000</v>
      </c>
      <c r="H81" s="73">
        <v>300000</v>
      </c>
      <c r="I81" s="73">
        <v>315000</v>
      </c>
      <c r="J81" s="73">
        <v>197000</v>
      </c>
      <c r="K81" s="73">
        <v>308000</v>
      </c>
      <c r="L81" s="73">
        <v>431000</v>
      </c>
      <c r="M81" s="73">
        <v>109000</v>
      </c>
      <c r="N81" s="73">
        <v>2606000</v>
      </c>
      <c r="O81" s="73">
        <v>861000</v>
      </c>
      <c r="P81" s="73">
        <v>230000</v>
      </c>
      <c r="Q81" s="73">
        <v>115000</v>
      </c>
      <c r="R81" s="73">
        <v>23000</v>
      </c>
      <c r="S81" s="73">
        <v>58000</v>
      </c>
      <c r="T81" s="73">
        <v>8000</v>
      </c>
      <c r="U81" s="73">
        <v>38000</v>
      </c>
      <c r="V81" s="73">
        <v>10901</v>
      </c>
      <c r="W81" s="73">
        <v>14462</v>
      </c>
      <c r="X81" s="73">
        <v>44475</v>
      </c>
      <c r="Y81" s="73">
        <v>343379</v>
      </c>
      <c r="Z81" s="73">
        <v>718298</v>
      </c>
      <c r="AA81" s="73">
        <v>549989</v>
      </c>
      <c r="AB81" s="73">
        <v>1285891</v>
      </c>
      <c r="AC81" s="73">
        <v>2344</v>
      </c>
      <c r="AD81" s="73">
        <v>72639</v>
      </c>
      <c r="AE81" s="73">
        <v>59881</v>
      </c>
      <c r="AF81" s="73">
        <v>103240</v>
      </c>
      <c r="AG81" s="73">
        <v>19174</v>
      </c>
      <c r="AH81" s="73">
        <v>2124</v>
      </c>
      <c r="AI81" s="73">
        <v>5957</v>
      </c>
      <c r="AJ81" s="73">
        <v>67403</v>
      </c>
      <c r="AK81" s="73">
        <v>17288</v>
      </c>
      <c r="AL81" s="73">
        <v>734</v>
      </c>
      <c r="AM81" s="73">
        <v>11902</v>
      </c>
      <c r="AN81" s="73">
        <v>146528</v>
      </c>
      <c r="AO81" s="73">
        <v>4321</v>
      </c>
      <c r="AP81" s="73">
        <v>9768</v>
      </c>
      <c r="AQ81" s="73">
        <v>580699</v>
      </c>
      <c r="AR81" s="73">
        <v>5272</v>
      </c>
      <c r="AS81" s="73">
        <v>18882</v>
      </c>
      <c r="AT81" s="73">
        <v>144</v>
      </c>
      <c r="AU81" s="73">
        <v>8789</v>
      </c>
      <c r="AV81">
        <v>89515</v>
      </c>
      <c r="AW81">
        <v>270663</v>
      </c>
      <c r="AX81">
        <v>366992</v>
      </c>
    </row>
    <row r="82" spans="1:50" ht="14.5" x14ac:dyDescent="0.35">
      <c r="A82" s="72" t="s">
        <v>159</v>
      </c>
      <c r="B82" s="72" t="str">
        <f>VLOOKUP(Tabelle_Abfrage_von_MS_Access_Database3[[#This Row],[LAND]],Texte!$A$4:$C$261,Texte!$A$1+1,FALSE)</f>
        <v>Elfenbeinküste</v>
      </c>
      <c r="C82" s="72" t="s">
        <v>508</v>
      </c>
      <c r="D82" s="72" t="s">
        <v>557</v>
      </c>
      <c r="E82" s="73">
        <v>18294000</v>
      </c>
      <c r="F82" s="73">
        <v>19099000</v>
      </c>
      <c r="G82" s="73">
        <v>18250000</v>
      </c>
      <c r="H82" s="73">
        <v>24129000</v>
      </c>
      <c r="I82" s="73">
        <v>25647000</v>
      </c>
      <c r="J82" s="73">
        <v>20224000</v>
      </c>
      <c r="K82" s="73">
        <v>26320000</v>
      </c>
      <c r="L82" s="73">
        <v>34744000</v>
      </c>
      <c r="M82" s="73">
        <v>32930000</v>
      </c>
      <c r="N82" s="73">
        <v>21340000</v>
      </c>
      <c r="O82" s="73">
        <v>16537000</v>
      </c>
      <c r="P82" s="73">
        <v>14651000</v>
      </c>
      <c r="Q82" s="73">
        <v>16235000</v>
      </c>
      <c r="R82" s="73">
        <v>23080000</v>
      </c>
      <c r="S82" s="73">
        <v>17815000</v>
      </c>
      <c r="T82" s="73">
        <v>19140000</v>
      </c>
      <c r="U82" s="73">
        <v>12245000</v>
      </c>
      <c r="V82" s="73">
        <v>13757986</v>
      </c>
      <c r="W82" s="73">
        <v>18389639</v>
      </c>
      <c r="X82" s="73">
        <v>25358747</v>
      </c>
      <c r="Y82" s="73">
        <v>28335570</v>
      </c>
      <c r="Z82" s="73">
        <v>25821534</v>
      </c>
      <c r="AA82" s="73">
        <v>21047070</v>
      </c>
      <c r="AB82" s="73">
        <v>28882705</v>
      </c>
      <c r="AC82" s="73">
        <v>38516208</v>
      </c>
      <c r="AD82" s="73">
        <v>42287441</v>
      </c>
      <c r="AE82" s="73">
        <v>34029672</v>
      </c>
      <c r="AF82" s="73">
        <v>9585270</v>
      </c>
      <c r="AG82" s="73">
        <v>11627626</v>
      </c>
      <c r="AH82" s="73">
        <v>17006263</v>
      </c>
      <c r="AI82" s="73">
        <v>16746492</v>
      </c>
      <c r="AJ82" s="73">
        <v>23949844</v>
      </c>
      <c r="AK82" s="73">
        <v>25341303</v>
      </c>
      <c r="AL82" s="73">
        <v>21864963</v>
      </c>
      <c r="AM82" s="73">
        <v>16054279</v>
      </c>
      <c r="AN82" s="73">
        <v>12267814</v>
      </c>
      <c r="AO82" s="73">
        <v>7967495</v>
      </c>
      <c r="AP82" s="73">
        <v>14483782</v>
      </c>
      <c r="AQ82" s="73">
        <v>49554126</v>
      </c>
      <c r="AR82" s="73">
        <v>28461846</v>
      </c>
      <c r="AS82" s="73">
        <v>46828864</v>
      </c>
      <c r="AT82" s="73">
        <v>46610352</v>
      </c>
      <c r="AU82" s="73">
        <v>52706973</v>
      </c>
      <c r="AV82">
        <v>42590648</v>
      </c>
      <c r="AW82">
        <v>35325438</v>
      </c>
      <c r="AX82">
        <v>31404335</v>
      </c>
    </row>
    <row r="83" spans="1:50" ht="14.5" x14ac:dyDescent="0.35">
      <c r="A83" s="72" t="s">
        <v>161</v>
      </c>
      <c r="B83" s="72" t="str">
        <f>VLOOKUP(Tabelle_Abfrage_von_MS_Access_Database3[[#This Row],[LAND]],Texte!$A$4:$C$261,Texte!$A$1+1,FALSE)</f>
        <v>Ghana</v>
      </c>
      <c r="C83" s="72" t="s">
        <v>508</v>
      </c>
      <c r="D83" s="72" t="s">
        <v>557</v>
      </c>
      <c r="E83" s="73">
        <v>11976000</v>
      </c>
      <c r="F83" s="73">
        <v>7724000</v>
      </c>
      <c r="G83" s="73">
        <v>7215000</v>
      </c>
      <c r="H83" s="73">
        <v>5942000</v>
      </c>
      <c r="I83" s="73">
        <v>5431000</v>
      </c>
      <c r="J83" s="73">
        <v>4236000</v>
      </c>
      <c r="K83" s="73">
        <v>7179000</v>
      </c>
      <c r="L83" s="73">
        <v>2609000</v>
      </c>
      <c r="M83" s="73">
        <v>1409000</v>
      </c>
      <c r="N83" s="73">
        <v>3285000</v>
      </c>
      <c r="O83" s="73">
        <v>3744000</v>
      </c>
      <c r="P83" s="73">
        <v>5746000</v>
      </c>
      <c r="Q83" s="73">
        <v>4481000</v>
      </c>
      <c r="R83" s="73">
        <v>5924000</v>
      </c>
      <c r="S83" s="73">
        <v>10052000</v>
      </c>
      <c r="T83" s="73">
        <v>11937000</v>
      </c>
      <c r="U83" s="73">
        <v>11042000</v>
      </c>
      <c r="V83" s="73">
        <v>18921391</v>
      </c>
      <c r="W83" s="73">
        <v>14980050</v>
      </c>
      <c r="X83" s="73">
        <v>13637276</v>
      </c>
      <c r="Y83" s="73">
        <v>12752269</v>
      </c>
      <c r="Z83" s="73">
        <v>17259222</v>
      </c>
      <c r="AA83" s="73">
        <v>19738233</v>
      </c>
      <c r="AB83" s="73">
        <v>25609164</v>
      </c>
      <c r="AC83" s="73">
        <v>13130899</v>
      </c>
      <c r="AD83" s="73">
        <v>7847002</v>
      </c>
      <c r="AE83" s="73">
        <v>7829209</v>
      </c>
      <c r="AF83" s="73">
        <v>8389030</v>
      </c>
      <c r="AG83" s="73">
        <v>4914399</v>
      </c>
      <c r="AH83" s="73">
        <v>2773075</v>
      </c>
      <c r="AI83" s="73">
        <v>2943331</v>
      </c>
      <c r="AJ83" s="73">
        <v>15131683</v>
      </c>
      <c r="AK83" s="73">
        <v>11240232</v>
      </c>
      <c r="AL83" s="73">
        <v>26620525</v>
      </c>
      <c r="AM83" s="73">
        <v>18467521</v>
      </c>
      <c r="AN83" s="73">
        <v>15359076</v>
      </c>
      <c r="AO83" s="73">
        <v>29351658</v>
      </c>
      <c r="AP83" s="73">
        <v>54664629</v>
      </c>
      <c r="AQ83" s="73">
        <v>20206873</v>
      </c>
      <c r="AR83" s="73">
        <v>4001616</v>
      </c>
      <c r="AS83" s="73">
        <v>18773859</v>
      </c>
      <c r="AT83" s="73">
        <v>18380486</v>
      </c>
      <c r="AU83" s="73">
        <v>14301516</v>
      </c>
      <c r="AV83">
        <v>23897906</v>
      </c>
      <c r="AW83">
        <v>12758826</v>
      </c>
      <c r="AX83">
        <v>19754902</v>
      </c>
    </row>
    <row r="84" spans="1:50" ht="14.5" x14ac:dyDescent="0.35">
      <c r="A84" s="72" t="s">
        <v>163</v>
      </c>
      <c r="B84" s="72" t="str">
        <f>VLOOKUP(Tabelle_Abfrage_von_MS_Access_Database3[[#This Row],[LAND]],Texte!$A$4:$C$261,Texte!$A$1+1,FALSE)</f>
        <v>Togo</v>
      </c>
      <c r="C84" s="72" t="s">
        <v>508</v>
      </c>
      <c r="D84" s="72" t="s">
        <v>557</v>
      </c>
      <c r="E84" s="73">
        <v>228000</v>
      </c>
      <c r="F84" s="73">
        <v>424000</v>
      </c>
      <c r="G84" s="73">
        <v>45000</v>
      </c>
      <c r="H84" s="73">
        <v>397000</v>
      </c>
      <c r="I84" s="73">
        <v>83000</v>
      </c>
      <c r="J84" s="73">
        <v>816000</v>
      </c>
      <c r="K84" s="73">
        <v>10126000</v>
      </c>
      <c r="L84" s="73">
        <v>13331000</v>
      </c>
      <c r="M84" s="73">
        <v>8062000</v>
      </c>
      <c r="N84" s="73">
        <v>635000</v>
      </c>
      <c r="O84" s="73">
        <v>422000</v>
      </c>
      <c r="P84" s="73">
        <v>2185000</v>
      </c>
      <c r="Q84" s="73">
        <v>153000</v>
      </c>
      <c r="R84" s="73">
        <v>119000</v>
      </c>
      <c r="S84" s="73">
        <v>160000</v>
      </c>
      <c r="T84" s="73">
        <v>62000</v>
      </c>
      <c r="U84" s="73">
        <v>674000</v>
      </c>
      <c r="V84" s="73">
        <v>53995</v>
      </c>
      <c r="W84" s="73">
        <v>96655</v>
      </c>
      <c r="X84" s="73">
        <v>199052</v>
      </c>
      <c r="Y84" s="73">
        <v>733339</v>
      </c>
      <c r="Z84" s="73">
        <v>149413</v>
      </c>
      <c r="AA84" s="73">
        <v>210533</v>
      </c>
      <c r="AB84" s="73">
        <v>731973</v>
      </c>
      <c r="AC84" s="73">
        <v>1938100</v>
      </c>
      <c r="AD84" s="73">
        <v>1556801</v>
      </c>
      <c r="AE84" s="73">
        <v>765984</v>
      </c>
      <c r="AF84" s="73">
        <v>574714</v>
      </c>
      <c r="AG84" s="73">
        <v>209351</v>
      </c>
      <c r="AH84" s="73">
        <v>125353</v>
      </c>
      <c r="AI84" s="73">
        <v>300279</v>
      </c>
      <c r="AJ84" s="73">
        <v>56391</v>
      </c>
      <c r="AK84" s="73">
        <v>57755</v>
      </c>
      <c r="AL84" s="73">
        <v>1427212</v>
      </c>
      <c r="AM84" s="73">
        <v>164270</v>
      </c>
      <c r="AN84" s="73">
        <v>63569</v>
      </c>
      <c r="AO84" s="73">
        <v>33516</v>
      </c>
      <c r="AP84" s="73">
        <v>222493</v>
      </c>
      <c r="AQ84" s="73">
        <v>988624</v>
      </c>
      <c r="AR84" s="73">
        <v>238514</v>
      </c>
      <c r="AS84" s="73">
        <v>616326</v>
      </c>
      <c r="AT84" s="73">
        <v>293046</v>
      </c>
      <c r="AU84" s="73">
        <v>327344</v>
      </c>
      <c r="AV84">
        <v>480597</v>
      </c>
      <c r="AW84">
        <v>8283182</v>
      </c>
      <c r="AX84">
        <v>1638622</v>
      </c>
    </row>
    <row r="85" spans="1:50" ht="14.5" x14ac:dyDescent="0.35">
      <c r="A85" s="72" t="s">
        <v>165</v>
      </c>
      <c r="B85" s="72" t="str">
        <f>VLOOKUP(Tabelle_Abfrage_von_MS_Access_Database3[[#This Row],[LAND]],Texte!$A$4:$C$261,Texte!$A$1+1,FALSE)</f>
        <v>Benin</v>
      </c>
      <c r="C85" s="72" t="s">
        <v>508</v>
      </c>
      <c r="D85" s="72" t="s">
        <v>557</v>
      </c>
      <c r="E85" s="73">
        <v>0</v>
      </c>
      <c r="F85" s="73">
        <v>175000</v>
      </c>
      <c r="G85" s="73">
        <v>10000</v>
      </c>
      <c r="H85" s="73">
        <v>103000</v>
      </c>
      <c r="I85" s="73">
        <v>19000</v>
      </c>
      <c r="J85" s="73">
        <v>2000</v>
      </c>
      <c r="K85" s="73">
        <v>422000</v>
      </c>
      <c r="L85" s="73">
        <v>1602000</v>
      </c>
      <c r="M85" s="73">
        <v>863000</v>
      </c>
      <c r="N85" s="73">
        <v>129000</v>
      </c>
      <c r="O85" s="73">
        <v>1000</v>
      </c>
      <c r="P85" s="73">
        <v>16000</v>
      </c>
      <c r="Q85" s="73">
        <v>307000</v>
      </c>
      <c r="R85" s="73">
        <v>388000</v>
      </c>
      <c r="S85" s="73">
        <v>1162000</v>
      </c>
      <c r="T85" s="73">
        <v>1431000</v>
      </c>
      <c r="U85" s="73">
        <v>626000</v>
      </c>
      <c r="V85" s="73">
        <v>1782301</v>
      </c>
      <c r="W85" s="73">
        <v>1419955</v>
      </c>
      <c r="X85" s="73">
        <v>4757237</v>
      </c>
      <c r="Y85" s="73">
        <v>1001358</v>
      </c>
      <c r="Z85" s="73">
        <v>12282</v>
      </c>
      <c r="AA85" s="73">
        <v>96000</v>
      </c>
      <c r="AB85" s="73">
        <v>18174</v>
      </c>
      <c r="AC85" s="73">
        <v>11048</v>
      </c>
      <c r="AD85" s="73">
        <v>23493</v>
      </c>
      <c r="AE85" s="73">
        <v>6414</v>
      </c>
      <c r="AF85" s="73">
        <v>29</v>
      </c>
      <c r="AG85" s="73">
        <v>39549</v>
      </c>
      <c r="AH85" s="73">
        <v>48222</v>
      </c>
      <c r="AI85" s="73">
        <v>115928</v>
      </c>
      <c r="AJ85" s="73">
        <v>31907</v>
      </c>
      <c r="AK85" s="73">
        <v>86522</v>
      </c>
      <c r="AL85" s="73">
        <v>21397</v>
      </c>
      <c r="AM85" s="73">
        <v>16906</v>
      </c>
      <c r="AN85" s="73">
        <v>23302</v>
      </c>
      <c r="AO85" s="73">
        <v>57560</v>
      </c>
      <c r="AP85" s="73">
        <v>21486</v>
      </c>
      <c r="AQ85" s="73">
        <v>7561</v>
      </c>
      <c r="AR85" s="73">
        <v>11355</v>
      </c>
      <c r="AS85" s="73">
        <v>31484</v>
      </c>
      <c r="AT85" s="73">
        <v>39657</v>
      </c>
      <c r="AU85" s="73">
        <v>155375</v>
      </c>
      <c r="AV85">
        <v>15518</v>
      </c>
      <c r="AW85">
        <v>3554</v>
      </c>
      <c r="AX85">
        <v>47620</v>
      </c>
    </row>
    <row r="86" spans="1:50" ht="14.5" x14ac:dyDescent="0.35">
      <c r="A86" s="72" t="s">
        <v>167</v>
      </c>
      <c r="B86" s="72" t="str">
        <f>VLOOKUP(Tabelle_Abfrage_von_MS_Access_Database3[[#This Row],[LAND]],Texte!$A$4:$C$261,Texte!$A$1+1,FALSE)</f>
        <v>Nigeria</v>
      </c>
      <c r="C86" s="72" t="s">
        <v>508</v>
      </c>
      <c r="D86" s="72" t="s">
        <v>557</v>
      </c>
      <c r="E86" s="73">
        <v>39007000</v>
      </c>
      <c r="F86" s="73">
        <v>79215000</v>
      </c>
      <c r="G86" s="73">
        <v>125635000</v>
      </c>
      <c r="H86" s="73">
        <v>74350000</v>
      </c>
      <c r="I86" s="73">
        <v>65150000</v>
      </c>
      <c r="J86" s="73">
        <v>118728000</v>
      </c>
      <c r="K86" s="73">
        <v>283543000</v>
      </c>
      <c r="L86" s="73">
        <v>321368000</v>
      </c>
      <c r="M86" s="73">
        <v>116188000</v>
      </c>
      <c r="N86" s="73">
        <v>76157000</v>
      </c>
      <c r="O86" s="73">
        <v>30754000</v>
      </c>
      <c r="P86" s="73">
        <v>62561000</v>
      </c>
      <c r="Q86" s="73">
        <v>182583000</v>
      </c>
      <c r="R86" s="73">
        <v>251997000</v>
      </c>
      <c r="S86" s="73">
        <v>223922000</v>
      </c>
      <c r="T86" s="73">
        <v>282953000</v>
      </c>
      <c r="U86" s="73">
        <v>135873000</v>
      </c>
      <c r="V86" s="73">
        <v>189904146</v>
      </c>
      <c r="W86" s="73">
        <v>212384392</v>
      </c>
      <c r="X86" s="73">
        <v>199919986</v>
      </c>
      <c r="Y86" s="73">
        <v>93139830</v>
      </c>
      <c r="Z86" s="73">
        <v>93451304</v>
      </c>
      <c r="AA86" s="73">
        <v>245607655</v>
      </c>
      <c r="AB86" s="73">
        <v>309825837</v>
      </c>
      <c r="AC86" s="73">
        <v>307956344</v>
      </c>
      <c r="AD86" s="73">
        <v>251583574</v>
      </c>
      <c r="AE86" s="73">
        <v>167334415</v>
      </c>
      <c r="AF86" s="73">
        <v>438789060</v>
      </c>
      <c r="AG86" s="73">
        <v>517563185</v>
      </c>
      <c r="AH86" s="73">
        <v>118804354</v>
      </c>
      <c r="AI86" s="73">
        <v>178464938</v>
      </c>
      <c r="AJ86" s="73">
        <v>172151685</v>
      </c>
      <c r="AK86" s="73">
        <v>364381743</v>
      </c>
      <c r="AL86" s="73">
        <v>777645936</v>
      </c>
      <c r="AM86" s="73">
        <v>909419540</v>
      </c>
      <c r="AN86" s="73">
        <v>954654957</v>
      </c>
      <c r="AO86" s="73">
        <v>333295065</v>
      </c>
      <c r="AP86" s="73">
        <v>48587019</v>
      </c>
      <c r="AQ86" s="73">
        <v>3638525</v>
      </c>
      <c r="AR86" s="73">
        <v>225286950</v>
      </c>
      <c r="AS86" s="73">
        <v>204492673</v>
      </c>
      <c r="AT86" s="73">
        <v>121004508</v>
      </c>
      <c r="AU86" s="73">
        <v>118414643</v>
      </c>
      <c r="AV86">
        <v>2262845</v>
      </c>
      <c r="AW86">
        <v>4876322</v>
      </c>
      <c r="AX86">
        <v>6907121</v>
      </c>
    </row>
    <row r="87" spans="1:50" ht="14.5" x14ac:dyDescent="0.35">
      <c r="A87" s="72" t="s">
        <v>169</v>
      </c>
      <c r="B87" s="72" t="str">
        <f>VLOOKUP(Tabelle_Abfrage_von_MS_Access_Database3[[#This Row],[LAND]],Texte!$A$4:$C$261,Texte!$A$1+1,FALSE)</f>
        <v>Kamerun</v>
      </c>
      <c r="C87" s="72" t="s">
        <v>508</v>
      </c>
      <c r="D87" s="72" t="s">
        <v>557</v>
      </c>
      <c r="E87" s="73">
        <v>3660000</v>
      </c>
      <c r="F87" s="73">
        <v>1937000</v>
      </c>
      <c r="G87" s="73">
        <v>7419000</v>
      </c>
      <c r="H87" s="73">
        <v>7629000</v>
      </c>
      <c r="I87" s="73">
        <v>8930000</v>
      </c>
      <c r="J87" s="73">
        <v>6277000</v>
      </c>
      <c r="K87" s="73">
        <v>4263000</v>
      </c>
      <c r="L87" s="73">
        <v>48137000</v>
      </c>
      <c r="M87" s="73">
        <v>31121000</v>
      </c>
      <c r="N87" s="73">
        <v>34492000</v>
      </c>
      <c r="O87" s="73">
        <v>9982000</v>
      </c>
      <c r="P87" s="73">
        <v>4471000</v>
      </c>
      <c r="Q87" s="73">
        <v>6975000</v>
      </c>
      <c r="R87" s="73">
        <v>5405000</v>
      </c>
      <c r="S87" s="73">
        <v>2414000</v>
      </c>
      <c r="T87" s="73">
        <v>2215000</v>
      </c>
      <c r="U87" s="73">
        <v>3369000</v>
      </c>
      <c r="V87" s="73">
        <v>2001191</v>
      </c>
      <c r="W87" s="73">
        <v>37091270</v>
      </c>
      <c r="X87" s="73">
        <v>26938657</v>
      </c>
      <c r="Y87" s="73">
        <v>18035651</v>
      </c>
      <c r="Z87" s="73">
        <v>10694242</v>
      </c>
      <c r="AA87" s="73">
        <v>9538165</v>
      </c>
      <c r="AB87" s="73">
        <v>3092957</v>
      </c>
      <c r="AC87" s="73">
        <v>7006245</v>
      </c>
      <c r="AD87" s="73">
        <v>5283944</v>
      </c>
      <c r="AE87" s="73">
        <v>5991619</v>
      </c>
      <c r="AF87" s="73">
        <v>2891229</v>
      </c>
      <c r="AG87" s="73">
        <v>6319096</v>
      </c>
      <c r="AH87" s="73">
        <v>6951731</v>
      </c>
      <c r="AI87" s="73">
        <v>8202907</v>
      </c>
      <c r="AJ87" s="73">
        <v>5938260</v>
      </c>
      <c r="AK87" s="73">
        <v>5488525</v>
      </c>
      <c r="AL87" s="73">
        <v>5703105</v>
      </c>
      <c r="AM87" s="73">
        <v>5139693</v>
      </c>
      <c r="AN87" s="73">
        <v>3164561</v>
      </c>
      <c r="AO87" s="73">
        <v>2427256</v>
      </c>
      <c r="AP87" s="73">
        <v>2050029</v>
      </c>
      <c r="AQ87" s="73">
        <v>864936</v>
      </c>
      <c r="AR87" s="73">
        <v>3414078</v>
      </c>
      <c r="AS87" s="73">
        <v>3393437</v>
      </c>
      <c r="AT87" s="73">
        <v>3147084</v>
      </c>
      <c r="AU87" s="73">
        <v>2548395</v>
      </c>
      <c r="AV87">
        <v>6367452</v>
      </c>
      <c r="AW87">
        <v>2409854</v>
      </c>
      <c r="AX87">
        <v>4637656</v>
      </c>
    </row>
    <row r="88" spans="1:50" ht="14.5" x14ac:dyDescent="0.35">
      <c r="A88" s="72" t="s">
        <v>171</v>
      </c>
      <c r="B88" s="72" t="str">
        <f>VLOOKUP(Tabelle_Abfrage_von_MS_Access_Database3[[#This Row],[LAND]],Texte!$A$4:$C$261,Texte!$A$1+1,FALSE)</f>
        <v>Zentralafrikan.Republik</v>
      </c>
      <c r="C88" s="72" t="s">
        <v>508</v>
      </c>
      <c r="D88" s="72" t="s">
        <v>557</v>
      </c>
      <c r="E88" s="73">
        <v>181000</v>
      </c>
      <c r="F88" s="73">
        <v>39000</v>
      </c>
      <c r="G88" s="73">
        <v>47000</v>
      </c>
      <c r="H88" s="73">
        <v>147000</v>
      </c>
      <c r="I88" s="73">
        <v>681000</v>
      </c>
      <c r="J88" s="73">
        <v>194000</v>
      </c>
      <c r="K88" s="73">
        <v>156000</v>
      </c>
      <c r="L88" s="73">
        <v>1240000</v>
      </c>
      <c r="M88" s="73">
        <v>624000</v>
      </c>
      <c r="N88" s="73">
        <v>366000</v>
      </c>
      <c r="O88" s="73">
        <v>831000</v>
      </c>
      <c r="P88" s="73">
        <v>519000</v>
      </c>
      <c r="Q88" s="73">
        <v>325000</v>
      </c>
      <c r="R88" s="73">
        <v>290000</v>
      </c>
      <c r="S88" s="73">
        <v>86000</v>
      </c>
      <c r="T88" s="73">
        <v>73000</v>
      </c>
      <c r="U88" s="73">
        <v>34000</v>
      </c>
      <c r="V88" s="73">
        <v>24200</v>
      </c>
      <c r="W88" s="73">
        <v>25508</v>
      </c>
      <c r="X88" s="73">
        <v>120711</v>
      </c>
      <c r="Y88" s="73">
        <v>129286</v>
      </c>
      <c r="Z88" s="73">
        <v>55233</v>
      </c>
      <c r="AA88" s="73">
        <v>170563</v>
      </c>
      <c r="AB88" s="73">
        <v>1690842</v>
      </c>
      <c r="AC88" s="73">
        <v>1195109</v>
      </c>
      <c r="AD88" s="73">
        <v>163475</v>
      </c>
      <c r="AE88" s="73">
        <v>73030</v>
      </c>
      <c r="AF88" s="73">
        <v>591659</v>
      </c>
      <c r="AG88" s="73">
        <v>91833</v>
      </c>
      <c r="AH88" s="73">
        <v>379143</v>
      </c>
      <c r="AI88" s="73">
        <v>101679</v>
      </c>
      <c r="AJ88" s="73">
        <v>20611</v>
      </c>
      <c r="AK88" s="73">
        <v>1118335</v>
      </c>
      <c r="AL88" s="73">
        <v>135423</v>
      </c>
      <c r="AM88" s="73">
        <v>8827</v>
      </c>
      <c r="AN88" s="73">
        <v>147814</v>
      </c>
      <c r="AO88" s="73">
        <v>17682</v>
      </c>
      <c r="AP88" s="73">
        <v>6496</v>
      </c>
      <c r="AQ88" s="73">
        <v>23869</v>
      </c>
      <c r="AR88" s="73">
        <v>114762</v>
      </c>
      <c r="AS88" s="73">
        <v>119616</v>
      </c>
      <c r="AT88" s="73">
        <v>69234</v>
      </c>
      <c r="AU88" s="73">
        <v>17129</v>
      </c>
      <c r="AV88">
        <v>306422</v>
      </c>
      <c r="AW88">
        <v>313455</v>
      </c>
      <c r="AX88">
        <v>59533</v>
      </c>
    </row>
    <row r="89" spans="1:50" ht="14.5" x14ac:dyDescent="0.35">
      <c r="A89" s="72" t="s">
        <v>173</v>
      </c>
      <c r="B89" s="72" t="str">
        <f>VLOOKUP(Tabelle_Abfrage_von_MS_Access_Database3[[#This Row],[LAND]],Texte!$A$4:$C$261,Texte!$A$1+1,FALSE)</f>
        <v>Äquatorialguinea</v>
      </c>
      <c r="C89" s="72" t="s">
        <v>508</v>
      </c>
      <c r="D89" s="72" t="s">
        <v>557</v>
      </c>
      <c r="E89" s="73">
        <v>0</v>
      </c>
      <c r="F89" s="73">
        <v>0</v>
      </c>
      <c r="G89" s="73">
        <v>0</v>
      </c>
      <c r="H89" s="73">
        <v>15000</v>
      </c>
      <c r="I89" s="73">
        <v>0</v>
      </c>
      <c r="J89" s="73">
        <v>14000</v>
      </c>
      <c r="K89" s="73">
        <v>25000</v>
      </c>
      <c r="L89" s="73">
        <v>44000</v>
      </c>
      <c r="M89" s="73">
        <v>215000</v>
      </c>
      <c r="N89" s="73">
        <v>40000</v>
      </c>
      <c r="O89" s="73">
        <v>0</v>
      </c>
      <c r="P89" s="73">
        <v>0</v>
      </c>
      <c r="Q89" s="73">
        <v>24000</v>
      </c>
      <c r="R89" s="73">
        <v>0</v>
      </c>
      <c r="S89" s="73">
        <v>0</v>
      </c>
      <c r="T89" s="73">
        <v>0</v>
      </c>
      <c r="U89" s="73">
        <v>0</v>
      </c>
      <c r="V89" s="74"/>
      <c r="W89" s="73">
        <v>171508</v>
      </c>
      <c r="X89" s="73">
        <v>243527</v>
      </c>
      <c r="Y89" s="73">
        <v>55377</v>
      </c>
      <c r="Z89" s="73">
        <v>13735</v>
      </c>
      <c r="AA89" s="73">
        <v>37863</v>
      </c>
      <c r="AB89" s="73">
        <v>0</v>
      </c>
      <c r="AC89" s="73">
        <v>0</v>
      </c>
      <c r="AD89" s="73">
        <v>0</v>
      </c>
      <c r="AE89" s="73">
        <v>13806</v>
      </c>
      <c r="AF89" s="73">
        <v>13758</v>
      </c>
      <c r="AG89" s="73">
        <v>0</v>
      </c>
      <c r="AH89" s="73">
        <v>2396</v>
      </c>
      <c r="AI89" s="73">
        <v>1977</v>
      </c>
      <c r="AJ89" s="73">
        <v>815</v>
      </c>
      <c r="AK89" s="73">
        <v>164</v>
      </c>
      <c r="AL89" s="73">
        <v>240</v>
      </c>
      <c r="AM89" s="73">
        <v>243</v>
      </c>
      <c r="AN89" s="73">
        <v>202509</v>
      </c>
      <c r="AO89" s="73">
        <v>25546</v>
      </c>
      <c r="AP89" s="73">
        <v>19587</v>
      </c>
      <c r="AQ89" s="73">
        <v>209</v>
      </c>
      <c r="AR89" s="73">
        <v>90009</v>
      </c>
      <c r="AS89" s="73">
        <v>0</v>
      </c>
      <c r="AT89" s="73">
        <v>2865</v>
      </c>
      <c r="AU89" s="73">
        <v>4896</v>
      </c>
      <c r="AV89">
        <v>36800</v>
      </c>
      <c r="AW89">
        <v>8113</v>
      </c>
      <c r="AX89">
        <v>11228</v>
      </c>
    </row>
    <row r="90" spans="1:50" ht="14.5" x14ac:dyDescent="0.35">
      <c r="A90" s="72" t="s">
        <v>175</v>
      </c>
      <c r="B90" s="72" t="str">
        <f>VLOOKUP(Tabelle_Abfrage_von_MS_Access_Database3[[#This Row],[LAND]],Texte!$A$4:$C$261,Texte!$A$1+1,FALSE)</f>
        <v>Sao Tome und Principe</v>
      </c>
      <c r="C90" s="72" t="s">
        <v>510</v>
      </c>
      <c r="D90" s="72" t="s">
        <v>557</v>
      </c>
      <c r="E90" s="73">
        <v>0</v>
      </c>
      <c r="F90" s="73">
        <v>0</v>
      </c>
      <c r="G90" s="73">
        <v>177000</v>
      </c>
      <c r="H90" s="73">
        <v>734000</v>
      </c>
      <c r="I90" s="73">
        <v>464000</v>
      </c>
      <c r="J90" s="73">
        <v>257000</v>
      </c>
      <c r="K90" s="73">
        <v>405000</v>
      </c>
      <c r="L90" s="73">
        <v>443000</v>
      </c>
      <c r="M90" s="73">
        <v>3000</v>
      </c>
      <c r="N90" s="73">
        <v>201000</v>
      </c>
      <c r="O90" s="73">
        <v>434000</v>
      </c>
      <c r="P90" s="73">
        <v>389000</v>
      </c>
      <c r="Q90" s="73">
        <v>1000</v>
      </c>
      <c r="R90" s="73">
        <v>87000</v>
      </c>
      <c r="S90" s="73">
        <v>100000</v>
      </c>
      <c r="T90" s="73">
        <v>66000</v>
      </c>
      <c r="U90" s="73">
        <v>125000</v>
      </c>
      <c r="V90" s="73">
        <v>95055</v>
      </c>
      <c r="W90" s="73">
        <v>100724</v>
      </c>
      <c r="X90" s="73">
        <v>24635</v>
      </c>
      <c r="Y90" s="73">
        <v>81831</v>
      </c>
      <c r="Z90" s="73">
        <v>155522</v>
      </c>
      <c r="AA90" s="73">
        <v>118966</v>
      </c>
      <c r="AB90" s="73">
        <v>17678</v>
      </c>
      <c r="AC90" s="73">
        <v>630141</v>
      </c>
      <c r="AD90" s="73">
        <v>942300</v>
      </c>
      <c r="AE90" s="73">
        <v>20504</v>
      </c>
      <c r="AF90" s="73">
        <v>33658</v>
      </c>
      <c r="AG90" s="73">
        <v>235539</v>
      </c>
      <c r="AH90" s="73">
        <v>463944</v>
      </c>
      <c r="AI90" s="73">
        <v>74831</v>
      </c>
      <c r="AJ90" s="73">
        <v>33613</v>
      </c>
      <c r="AK90" s="73">
        <v>134725</v>
      </c>
      <c r="AL90" s="73">
        <v>101360</v>
      </c>
      <c r="AM90" s="73">
        <v>458396</v>
      </c>
      <c r="AN90" s="73">
        <v>321406</v>
      </c>
      <c r="AO90" s="73">
        <v>10107</v>
      </c>
      <c r="AP90" s="73">
        <v>61379</v>
      </c>
      <c r="AQ90" s="73">
        <v>23578</v>
      </c>
      <c r="AR90" s="73">
        <v>56783</v>
      </c>
      <c r="AS90" s="73">
        <v>93711</v>
      </c>
      <c r="AT90" s="73">
        <v>58929</v>
      </c>
      <c r="AU90" s="73">
        <v>75619</v>
      </c>
      <c r="AV90">
        <v>8457</v>
      </c>
      <c r="AW90">
        <v>58017</v>
      </c>
      <c r="AX90">
        <v>175945</v>
      </c>
    </row>
    <row r="91" spans="1:50" ht="14.5" x14ac:dyDescent="0.35">
      <c r="A91" s="72" t="s">
        <v>177</v>
      </c>
      <c r="B91" s="72" t="str">
        <f>VLOOKUP(Tabelle_Abfrage_von_MS_Access_Database3[[#This Row],[LAND]],Texte!$A$4:$C$261,Texte!$A$1+1,FALSE)</f>
        <v>Gabun</v>
      </c>
      <c r="C91" s="72" t="s">
        <v>508</v>
      </c>
      <c r="D91" s="72" t="s">
        <v>557</v>
      </c>
      <c r="E91" s="73">
        <v>15384000</v>
      </c>
      <c r="F91" s="73">
        <v>912000</v>
      </c>
      <c r="G91" s="73">
        <v>1153000</v>
      </c>
      <c r="H91" s="73">
        <v>880000</v>
      </c>
      <c r="I91" s="73">
        <v>30945000</v>
      </c>
      <c r="J91" s="73">
        <v>454000</v>
      </c>
      <c r="K91" s="73">
        <v>499000</v>
      </c>
      <c r="L91" s="73">
        <v>31937000</v>
      </c>
      <c r="M91" s="73">
        <v>563000</v>
      </c>
      <c r="N91" s="73">
        <v>309000</v>
      </c>
      <c r="O91" s="73">
        <v>397000</v>
      </c>
      <c r="P91" s="73">
        <v>583000</v>
      </c>
      <c r="Q91" s="73">
        <v>290000</v>
      </c>
      <c r="R91" s="73">
        <v>442000</v>
      </c>
      <c r="S91" s="73">
        <v>223000</v>
      </c>
      <c r="T91" s="73">
        <v>57000</v>
      </c>
      <c r="U91" s="73">
        <v>174000</v>
      </c>
      <c r="V91" s="73">
        <v>375720</v>
      </c>
      <c r="W91" s="73">
        <v>141349</v>
      </c>
      <c r="X91" s="73">
        <v>302318</v>
      </c>
      <c r="Y91" s="73">
        <v>412420</v>
      </c>
      <c r="Z91" s="73">
        <v>1340884</v>
      </c>
      <c r="AA91" s="73">
        <v>644102</v>
      </c>
      <c r="AB91" s="73">
        <v>975048</v>
      </c>
      <c r="AC91" s="73">
        <v>526915</v>
      </c>
      <c r="AD91" s="73">
        <v>668786</v>
      </c>
      <c r="AE91" s="73">
        <v>574902</v>
      </c>
      <c r="AF91" s="73">
        <v>706354</v>
      </c>
      <c r="AG91" s="73">
        <v>145814</v>
      </c>
      <c r="AH91" s="73">
        <v>726672</v>
      </c>
      <c r="AI91" s="73">
        <v>530442</v>
      </c>
      <c r="AJ91" s="73">
        <v>543663</v>
      </c>
      <c r="AK91" s="73">
        <v>242041</v>
      </c>
      <c r="AL91" s="73">
        <v>170772</v>
      </c>
      <c r="AM91" s="73">
        <v>572736</v>
      </c>
      <c r="AN91" s="73">
        <v>136261</v>
      </c>
      <c r="AO91" s="73">
        <v>164166</v>
      </c>
      <c r="AP91" s="73">
        <v>242291</v>
      </c>
      <c r="AQ91" s="73">
        <v>817869</v>
      </c>
      <c r="AR91" s="73">
        <v>354497</v>
      </c>
      <c r="AS91" s="73">
        <v>293347</v>
      </c>
      <c r="AT91" s="73">
        <v>257802</v>
      </c>
      <c r="AU91" s="73">
        <v>684470</v>
      </c>
      <c r="AV91">
        <v>548189</v>
      </c>
      <c r="AW91">
        <v>399792</v>
      </c>
      <c r="AX91">
        <v>228100</v>
      </c>
    </row>
    <row r="92" spans="1:50" ht="14.5" x14ac:dyDescent="0.35">
      <c r="A92" s="72" t="s">
        <v>179</v>
      </c>
      <c r="B92" s="72" t="str">
        <f>VLOOKUP(Tabelle_Abfrage_von_MS_Access_Database3[[#This Row],[LAND]],Texte!$A$4:$C$261,Texte!$A$1+1,FALSE)</f>
        <v>Republik Kongo</v>
      </c>
      <c r="C92" s="72" t="s">
        <v>508</v>
      </c>
      <c r="D92" s="72" t="s">
        <v>557</v>
      </c>
      <c r="E92" s="73">
        <v>143000</v>
      </c>
      <c r="F92" s="73">
        <v>33000</v>
      </c>
      <c r="G92" s="73">
        <v>134000</v>
      </c>
      <c r="H92" s="73">
        <v>81000</v>
      </c>
      <c r="I92" s="73">
        <v>72000</v>
      </c>
      <c r="J92" s="73">
        <v>85000</v>
      </c>
      <c r="K92" s="73">
        <v>308000</v>
      </c>
      <c r="L92" s="73">
        <v>57000</v>
      </c>
      <c r="M92" s="73">
        <v>364000</v>
      </c>
      <c r="N92" s="73">
        <v>174000</v>
      </c>
      <c r="O92" s="73">
        <v>69000</v>
      </c>
      <c r="P92" s="73">
        <v>130000</v>
      </c>
      <c r="Q92" s="73">
        <v>139000</v>
      </c>
      <c r="R92" s="73">
        <v>122000</v>
      </c>
      <c r="S92" s="73">
        <v>364000</v>
      </c>
      <c r="T92" s="73">
        <v>39000</v>
      </c>
      <c r="U92" s="73">
        <v>18000</v>
      </c>
      <c r="V92" s="73">
        <v>480513</v>
      </c>
      <c r="W92" s="73">
        <v>127031</v>
      </c>
      <c r="X92" s="73">
        <v>494030</v>
      </c>
      <c r="Y92" s="73">
        <v>1578018</v>
      </c>
      <c r="Z92" s="73">
        <v>1207749</v>
      </c>
      <c r="AA92" s="73">
        <v>2071247</v>
      </c>
      <c r="AB92" s="73">
        <v>451644</v>
      </c>
      <c r="AC92" s="73">
        <v>139380</v>
      </c>
      <c r="AD92" s="73">
        <v>580549</v>
      </c>
      <c r="AE92" s="73">
        <v>1419956</v>
      </c>
      <c r="AF92" s="73">
        <v>1108293</v>
      </c>
      <c r="AG92" s="73">
        <v>535837</v>
      </c>
      <c r="AH92" s="73">
        <v>178365</v>
      </c>
      <c r="AI92" s="73">
        <v>121796</v>
      </c>
      <c r="AJ92" s="73">
        <v>311050</v>
      </c>
      <c r="AK92" s="73">
        <v>247317</v>
      </c>
      <c r="AL92" s="73">
        <v>75382</v>
      </c>
      <c r="AM92" s="73">
        <v>59980</v>
      </c>
      <c r="AN92" s="73">
        <v>69357</v>
      </c>
      <c r="AO92" s="73">
        <v>80161</v>
      </c>
      <c r="AP92" s="73">
        <v>80462705</v>
      </c>
      <c r="AQ92" s="73">
        <v>72602148</v>
      </c>
      <c r="AR92" s="73">
        <v>373704</v>
      </c>
      <c r="AS92" s="73">
        <v>4052787</v>
      </c>
      <c r="AT92" s="73">
        <v>378173</v>
      </c>
      <c r="AU92" s="73">
        <v>814743</v>
      </c>
      <c r="AV92">
        <v>1159722</v>
      </c>
      <c r="AW92">
        <v>678393</v>
      </c>
      <c r="AX92">
        <v>709398</v>
      </c>
    </row>
    <row r="93" spans="1:50" ht="14.5" x14ac:dyDescent="0.35">
      <c r="A93" s="72" t="s">
        <v>181</v>
      </c>
      <c r="B93" s="72" t="str">
        <f>VLOOKUP(Tabelle_Abfrage_von_MS_Access_Database3[[#This Row],[LAND]],Texte!$A$4:$C$261,Texte!$A$1+1,FALSE)</f>
        <v>Demokrat.Republik Kongo</v>
      </c>
      <c r="C93" s="72" t="s">
        <v>508</v>
      </c>
      <c r="D93" s="72" t="s">
        <v>557</v>
      </c>
      <c r="E93" s="73">
        <v>2001000</v>
      </c>
      <c r="F93" s="73">
        <v>995000</v>
      </c>
      <c r="G93" s="73">
        <v>567000</v>
      </c>
      <c r="H93" s="73">
        <v>921000</v>
      </c>
      <c r="I93" s="73">
        <v>3390000</v>
      </c>
      <c r="J93" s="73">
        <v>4099000</v>
      </c>
      <c r="K93" s="73">
        <v>6593000</v>
      </c>
      <c r="L93" s="73">
        <v>3519000</v>
      </c>
      <c r="M93" s="73">
        <v>4263000</v>
      </c>
      <c r="N93" s="73">
        <v>2422000</v>
      </c>
      <c r="O93" s="73">
        <v>4805000</v>
      </c>
      <c r="P93" s="73">
        <v>4721000</v>
      </c>
      <c r="Q93" s="73">
        <v>6953000</v>
      </c>
      <c r="R93" s="73">
        <v>4960000</v>
      </c>
      <c r="S93" s="73">
        <v>3673000</v>
      </c>
      <c r="T93" s="73">
        <v>1757000</v>
      </c>
      <c r="U93" s="73">
        <v>563000</v>
      </c>
      <c r="V93" s="73">
        <v>2790855</v>
      </c>
      <c r="W93" s="73">
        <v>3515258</v>
      </c>
      <c r="X93" s="73">
        <v>2397768</v>
      </c>
      <c r="Y93" s="73">
        <v>1730994</v>
      </c>
      <c r="Z93" s="73">
        <v>821856</v>
      </c>
      <c r="AA93" s="73">
        <v>1596185</v>
      </c>
      <c r="AB93" s="73">
        <v>95771</v>
      </c>
      <c r="AC93" s="73">
        <v>23356</v>
      </c>
      <c r="AD93" s="73">
        <v>310598</v>
      </c>
      <c r="AE93" s="73">
        <v>315251</v>
      </c>
      <c r="AF93" s="73">
        <v>375787</v>
      </c>
      <c r="AG93" s="73">
        <v>245083</v>
      </c>
      <c r="AH93" s="73">
        <v>357189</v>
      </c>
      <c r="AI93" s="73">
        <v>345940</v>
      </c>
      <c r="AJ93" s="73">
        <v>92296</v>
      </c>
      <c r="AK93" s="73">
        <v>353216</v>
      </c>
      <c r="AL93" s="73">
        <v>330450</v>
      </c>
      <c r="AM93" s="73">
        <v>98541</v>
      </c>
      <c r="AN93" s="73">
        <v>273451</v>
      </c>
      <c r="AO93" s="73">
        <v>190175</v>
      </c>
      <c r="AP93" s="73">
        <v>234975</v>
      </c>
      <c r="AQ93" s="73">
        <v>776295</v>
      </c>
      <c r="AR93" s="73">
        <v>493717</v>
      </c>
      <c r="AS93" s="73">
        <v>2508958</v>
      </c>
      <c r="AT93" s="73">
        <v>209221</v>
      </c>
      <c r="AU93" s="73">
        <v>183249</v>
      </c>
      <c r="AV93">
        <v>581766</v>
      </c>
      <c r="AW93">
        <v>455588</v>
      </c>
      <c r="AX93">
        <v>605239</v>
      </c>
    </row>
    <row r="94" spans="1:50" ht="14.5" x14ac:dyDescent="0.35">
      <c r="A94" s="72" t="s">
        <v>183</v>
      </c>
      <c r="B94" s="72" t="str">
        <f>VLOOKUP(Tabelle_Abfrage_von_MS_Access_Database3[[#This Row],[LAND]],Texte!$A$4:$C$261,Texte!$A$1+1,FALSE)</f>
        <v>Ruanda</v>
      </c>
      <c r="C94" s="72" t="s">
        <v>508</v>
      </c>
      <c r="D94" s="72" t="s">
        <v>557</v>
      </c>
      <c r="E94" s="73">
        <v>1091000</v>
      </c>
      <c r="F94" s="73">
        <v>662000</v>
      </c>
      <c r="G94" s="73">
        <v>343000</v>
      </c>
      <c r="H94" s="73">
        <v>820000</v>
      </c>
      <c r="I94" s="73">
        <v>153000</v>
      </c>
      <c r="J94" s="73">
        <v>38000</v>
      </c>
      <c r="K94" s="73">
        <v>527000</v>
      </c>
      <c r="L94" s="73">
        <v>219000</v>
      </c>
      <c r="M94" s="73">
        <v>280000</v>
      </c>
      <c r="N94" s="73">
        <v>4000</v>
      </c>
      <c r="O94" s="73">
        <v>148000</v>
      </c>
      <c r="P94" s="73">
        <v>14000</v>
      </c>
      <c r="Q94" s="73">
        <v>504000</v>
      </c>
      <c r="R94" s="73">
        <v>155000</v>
      </c>
      <c r="S94" s="73">
        <v>128000</v>
      </c>
      <c r="T94" s="73">
        <v>69000</v>
      </c>
      <c r="U94" s="73">
        <v>767000</v>
      </c>
      <c r="V94" s="73">
        <v>388001</v>
      </c>
      <c r="W94" s="73">
        <v>245635</v>
      </c>
      <c r="X94" s="73">
        <v>9956</v>
      </c>
      <c r="Y94" s="73">
        <v>1411742</v>
      </c>
      <c r="Z94" s="73">
        <v>335676</v>
      </c>
      <c r="AA94" s="73">
        <v>16206</v>
      </c>
      <c r="AB94" s="73">
        <v>461332</v>
      </c>
      <c r="AC94" s="73">
        <v>793808</v>
      </c>
      <c r="AD94" s="73">
        <v>406043</v>
      </c>
      <c r="AE94" s="73">
        <v>336414</v>
      </c>
      <c r="AF94" s="73">
        <v>2102443</v>
      </c>
      <c r="AG94" s="73">
        <v>4006005</v>
      </c>
      <c r="AH94" s="73">
        <v>6088772</v>
      </c>
      <c r="AI94" s="73">
        <v>2694304</v>
      </c>
      <c r="AJ94" s="73">
        <v>880476</v>
      </c>
      <c r="AK94" s="73">
        <v>621259</v>
      </c>
      <c r="AL94" s="73">
        <v>2787690</v>
      </c>
      <c r="AM94" s="73">
        <v>1969131</v>
      </c>
      <c r="AN94" s="73">
        <v>476253</v>
      </c>
      <c r="AO94" s="73">
        <v>2892784</v>
      </c>
      <c r="AP94" s="73">
        <v>7661791</v>
      </c>
      <c r="AQ94" s="73">
        <v>6449728</v>
      </c>
      <c r="AR94" s="73">
        <v>7956930</v>
      </c>
      <c r="AS94" s="73">
        <v>10135158</v>
      </c>
      <c r="AT94" s="73">
        <v>9257177</v>
      </c>
      <c r="AU94" s="73">
        <v>8973626</v>
      </c>
      <c r="AV94">
        <v>8986422</v>
      </c>
      <c r="AW94">
        <v>17984471</v>
      </c>
      <c r="AX94">
        <v>17612069</v>
      </c>
    </row>
    <row r="95" spans="1:50" ht="14.5" x14ac:dyDescent="0.35">
      <c r="A95" s="72" t="s">
        <v>185</v>
      </c>
      <c r="B95" s="72" t="str">
        <f>VLOOKUP(Tabelle_Abfrage_von_MS_Access_Database3[[#This Row],[LAND]],Texte!$A$4:$C$261,Texte!$A$1+1,FALSE)</f>
        <v>Burundi</v>
      </c>
      <c r="C95" s="72" t="s">
        <v>508</v>
      </c>
      <c r="D95" s="72" t="s">
        <v>557</v>
      </c>
      <c r="E95" s="73">
        <v>159000</v>
      </c>
      <c r="F95" s="73">
        <v>1049000</v>
      </c>
      <c r="G95" s="73">
        <v>1742000</v>
      </c>
      <c r="H95" s="73">
        <v>249000</v>
      </c>
      <c r="I95" s="73">
        <v>655000</v>
      </c>
      <c r="J95" s="73">
        <v>225000</v>
      </c>
      <c r="K95" s="73">
        <v>161000</v>
      </c>
      <c r="L95" s="73">
        <v>100000</v>
      </c>
      <c r="M95" s="73">
        <v>212000</v>
      </c>
      <c r="N95" s="73">
        <v>0</v>
      </c>
      <c r="O95" s="73">
        <v>437000</v>
      </c>
      <c r="P95" s="73">
        <v>225000</v>
      </c>
      <c r="Q95" s="73">
        <v>190000</v>
      </c>
      <c r="R95" s="73">
        <v>252000</v>
      </c>
      <c r="S95" s="73">
        <v>276000</v>
      </c>
      <c r="T95" s="73">
        <v>871000</v>
      </c>
      <c r="U95" s="73">
        <v>1418000</v>
      </c>
      <c r="V95" s="73">
        <v>908264</v>
      </c>
      <c r="W95" s="73">
        <v>541123</v>
      </c>
      <c r="X95" s="73">
        <v>387637</v>
      </c>
      <c r="Y95" s="73">
        <v>1998286</v>
      </c>
      <c r="Z95" s="73">
        <v>2483304</v>
      </c>
      <c r="AA95" s="73">
        <v>1999592</v>
      </c>
      <c r="AB95" s="73">
        <v>78869</v>
      </c>
      <c r="AC95" s="73">
        <v>462390</v>
      </c>
      <c r="AD95" s="73">
        <v>276468</v>
      </c>
      <c r="AE95" s="73">
        <v>154572</v>
      </c>
      <c r="AF95" s="73">
        <v>629793</v>
      </c>
      <c r="AG95" s="73">
        <v>429455</v>
      </c>
      <c r="AH95" s="73">
        <v>308470</v>
      </c>
      <c r="AI95" s="73">
        <v>324311</v>
      </c>
      <c r="AJ95" s="73">
        <v>321240</v>
      </c>
      <c r="AK95" s="73">
        <v>222573</v>
      </c>
      <c r="AL95" s="73">
        <v>2242996</v>
      </c>
      <c r="AM95" s="73">
        <v>7754263</v>
      </c>
      <c r="AN95" s="73">
        <v>887910</v>
      </c>
      <c r="AO95" s="73">
        <v>480555</v>
      </c>
      <c r="AP95" s="73">
        <v>938453</v>
      </c>
      <c r="AQ95" s="73">
        <v>927201</v>
      </c>
      <c r="AR95" s="73">
        <v>884519</v>
      </c>
      <c r="AS95" s="73">
        <v>312816</v>
      </c>
      <c r="AT95" s="73">
        <v>228706</v>
      </c>
      <c r="AU95" s="73">
        <v>751820</v>
      </c>
      <c r="AV95">
        <v>262126</v>
      </c>
      <c r="AW95">
        <v>468787</v>
      </c>
      <c r="AX95">
        <v>173053</v>
      </c>
    </row>
    <row r="96" spans="1:50" ht="14.5" x14ac:dyDescent="0.35">
      <c r="A96" s="72" t="s">
        <v>187</v>
      </c>
      <c r="B96" s="72" t="str">
        <f>VLOOKUP(Tabelle_Abfrage_von_MS_Access_Database3[[#This Row],[LAND]],Texte!$A$4:$C$261,Texte!$A$1+1,FALSE)</f>
        <v>St. Helena</v>
      </c>
      <c r="C96" s="72" t="s">
        <v>515</v>
      </c>
      <c r="D96" s="72" t="s">
        <v>557</v>
      </c>
      <c r="E96" s="73">
        <v>0</v>
      </c>
      <c r="F96" s="73">
        <v>0</v>
      </c>
      <c r="G96" s="73">
        <v>0</v>
      </c>
      <c r="H96" s="73">
        <v>0</v>
      </c>
      <c r="I96" s="73">
        <v>0</v>
      </c>
      <c r="J96" s="73">
        <v>0</v>
      </c>
      <c r="K96" s="73">
        <v>0</v>
      </c>
      <c r="L96" s="73">
        <v>0</v>
      </c>
      <c r="M96" s="73">
        <v>0</v>
      </c>
      <c r="N96" s="73">
        <v>0</v>
      </c>
      <c r="O96" s="73">
        <v>0</v>
      </c>
      <c r="P96" s="73">
        <v>11000</v>
      </c>
      <c r="Q96" s="73">
        <v>3000</v>
      </c>
      <c r="R96" s="73">
        <v>6000</v>
      </c>
      <c r="S96" s="73">
        <v>11000</v>
      </c>
      <c r="T96" s="73">
        <v>84000</v>
      </c>
      <c r="U96" s="73">
        <v>20000</v>
      </c>
      <c r="V96" s="73">
        <v>71001</v>
      </c>
      <c r="W96" s="73">
        <v>0</v>
      </c>
      <c r="X96" s="73">
        <v>65769</v>
      </c>
      <c r="Y96" s="73">
        <v>4579</v>
      </c>
      <c r="Z96" s="73">
        <v>5523</v>
      </c>
      <c r="AA96" s="73">
        <v>272885</v>
      </c>
      <c r="AB96" s="73">
        <v>5503</v>
      </c>
      <c r="AC96" s="73">
        <v>14588</v>
      </c>
      <c r="AD96" s="73">
        <v>8336</v>
      </c>
      <c r="AE96" s="73">
        <v>2349</v>
      </c>
      <c r="AF96" s="73">
        <v>15858</v>
      </c>
      <c r="AG96" s="73">
        <v>15699</v>
      </c>
      <c r="AH96" s="73">
        <v>3002</v>
      </c>
      <c r="AI96" s="73">
        <v>0</v>
      </c>
      <c r="AJ96" s="74"/>
      <c r="AK96" s="73">
        <v>21033</v>
      </c>
      <c r="AL96" s="73">
        <v>13529</v>
      </c>
      <c r="AM96" s="73">
        <v>55801</v>
      </c>
      <c r="AN96" s="74"/>
      <c r="AO96" s="73">
        <v>34</v>
      </c>
      <c r="AP96" s="73">
        <v>4347</v>
      </c>
      <c r="AQ96" s="73">
        <v>317</v>
      </c>
      <c r="AR96" s="73">
        <v>5855</v>
      </c>
      <c r="AS96" s="73">
        <v>4096</v>
      </c>
      <c r="AT96" s="73">
        <v>11425</v>
      </c>
      <c r="AU96" s="73">
        <v>6916</v>
      </c>
      <c r="AV96">
        <v>36564</v>
      </c>
      <c r="AW96">
        <v>25649</v>
      </c>
      <c r="AX96">
        <v>11351</v>
      </c>
    </row>
    <row r="97" spans="1:50" ht="14.5" x14ac:dyDescent="0.35">
      <c r="A97" s="72" t="s">
        <v>189</v>
      </c>
      <c r="B97" s="72" t="str">
        <f>VLOOKUP(Tabelle_Abfrage_von_MS_Access_Database3[[#This Row],[LAND]],Texte!$A$4:$C$261,Texte!$A$1+1,FALSE)</f>
        <v>Angola</v>
      </c>
      <c r="C97" s="72" t="s">
        <v>508</v>
      </c>
      <c r="D97" s="72" t="s">
        <v>557</v>
      </c>
      <c r="E97" s="73">
        <v>764000</v>
      </c>
      <c r="F97" s="73">
        <v>1114000</v>
      </c>
      <c r="G97" s="73">
        <v>411000</v>
      </c>
      <c r="H97" s="73">
        <v>4746000</v>
      </c>
      <c r="I97" s="73">
        <v>2251000</v>
      </c>
      <c r="J97" s="73">
        <v>744000</v>
      </c>
      <c r="K97" s="73">
        <v>182000</v>
      </c>
      <c r="L97" s="73">
        <v>1120000</v>
      </c>
      <c r="M97" s="73">
        <v>657000</v>
      </c>
      <c r="N97" s="73">
        <v>440000</v>
      </c>
      <c r="O97" s="73">
        <v>989000</v>
      </c>
      <c r="P97" s="73">
        <v>495000</v>
      </c>
      <c r="Q97" s="73">
        <v>38000</v>
      </c>
      <c r="R97" s="73">
        <v>4808000</v>
      </c>
      <c r="S97" s="73">
        <v>35000</v>
      </c>
      <c r="T97" s="73">
        <v>13361000</v>
      </c>
      <c r="U97" s="73">
        <v>175000</v>
      </c>
      <c r="V97" s="73">
        <v>5377</v>
      </c>
      <c r="W97" s="73">
        <v>3924</v>
      </c>
      <c r="X97" s="73">
        <v>5306</v>
      </c>
      <c r="Y97" s="73">
        <v>7848</v>
      </c>
      <c r="Z97" s="73">
        <v>7558</v>
      </c>
      <c r="AA97" s="73">
        <v>1380</v>
      </c>
      <c r="AB97" s="73">
        <v>6093</v>
      </c>
      <c r="AC97" s="73">
        <v>2536934</v>
      </c>
      <c r="AD97" s="73">
        <v>3803</v>
      </c>
      <c r="AE97" s="73">
        <v>19255</v>
      </c>
      <c r="AF97" s="73">
        <v>48484</v>
      </c>
      <c r="AG97" s="73">
        <v>22991</v>
      </c>
      <c r="AH97" s="73">
        <v>59007</v>
      </c>
      <c r="AI97" s="73">
        <v>213103</v>
      </c>
      <c r="AJ97" s="73">
        <v>97929</v>
      </c>
      <c r="AK97" s="73">
        <v>38901</v>
      </c>
      <c r="AL97" s="73">
        <v>77330</v>
      </c>
      <c r="AM97" s="73">
        <v>42422</v>
      </c>
      <c r="AN97" s="73">
        <v>141013</v>
      </c>
      <c r="AO97" s="73">
        <v>139535</v>
      </c>
      <c r="AP97" s="73">
        <v>18410022</v>
      </c>
      <c r="AQ97" s="73">
        <v>25035572</v>
      </c>
      <c r="AR97" s="73">
        <v>475564</v>
      </c>
      <c r="AS97" s="73">
        <v>1535157</v>
      </c>
      <c r="AT97" s="73">
        <v>47446</v>
      </c>
      <c r="AU97" s="73">
        <v>106540</v>
      </c>
      <c r="AV97">
        <v>86673</v>
      </c>
      <c r="AW97">
        <v>29678</v>
      </c>
      <c r="AX97">
        <v>76751</v>
      </c>
    </row>
    <row r="98" spans="1:50" ht="14.5" x14ac:dyDescent="0.35">
      <c r="A98" s="72" t="s">
        <v>191</v>
      </c>
      <c r="B98" s="72" t="str">
        <f>VLOOKUP(Tabelle_Abfrage_von_MS_Access_Database3[[#This Row],[LAND]],Texte!$A$4:$C$261,Texte!$A$1+1,FALSE)</f>
        <v>Äthiopien</v>
      </c>
      <c r="C98" s="72" t="s">
        <v>508</v>
      </c>
      <c r="D98" s="72" t="s">
        <v>557</v>
      </c>
      <c r="E98" s="73">
        <v>1156000</v>
      </c>
      <c r="F98" s="73">
        <v>1635000</v>
      </c>
      <c r="G98" s="73">
        <v>1236000</v>
      </c>
      <c r="H98" s="73">
        <v>4662000</v>
      </c>
      <c r="I98" s="73">
        <v>5540000</v>
      </c>
      <c r="J98" s="73">
        <v>6546000</v>
      </c>
      <c r="K98" s="73">
        <v>3996000</v>
      </c>
      <c r="L98" s="73">
        <v>2218000</v>
      </c>
      <c r="M98" s="73">
        <v>2938000</v>
      </c>
      <c r="N98" s="73">
        <v>873000</v>
      </c>
      <c r="O98" s="73">
        <v>2894000</v>
      </c>
      <c r="P98" s="73">
        <v>18989000</v>
      </c>
      <c r="Q98" s="73">
        <v>1153000</v>
      </c>
      <c r="R98" s="73">
        <v>1097000</v>
      </c>
      <c r="S98" s="73">
        <v>1038000</v>
      </c>
      <c r="T98" s="73">
        <v>1051000</v>
      </c>
      <c r="U98" s="73">
        <v>2286000</v>
      </c>
      <c r="V98" s="73">
        <v>4495250</v>
      </c>
      <c r="W98" s="73">
        <v>3222605</v>
      </c>
      <c r="X98" s="73">
        <v>14601135</v>
      </c>
      <c r="Y98" s="73">
        <v>5410201</v>
      </c>
      <c r="Z98" s="73">
        <v>1947486</v>
      </c>
      <c r="AA98" s="73">
        <v>1395973</v>
      </c>
      <c r="AB98" s="73">
        <v>1637340</v>
      </c>
      <c r="AC98" s="73">
        <v>6577293</v>
      </c>
      <c r="AD98" s="73">
        <v>3388268</v>
      </c>
      <c r="AE98" s="73">
        <v>1254596</v>
      </c>
      <c r="AF98" s="73">
        <v>1756093</v>
      </c>
      <c r="AG98" s="73">
        <v>3167223</v>
      </c>
      <c r="AH98" s="73">
        <v>1902180</v>
      </c>
      <c r="AI98" s="73">
        <v>3472939</v>
      </c>
      <c r="AJ98" s="73">
        <v>2707514</v>
      </c>
      <c r="AK98" s="73">
        <v>3390791</v>
      </c>
      <c r="AL98" s="73">
        <v>5858769</v>
      </c>
      <c r="AM98" s="73">
        <v>5806265</v>
      </c>
      <c r="AN98" s="73">
        <v>6669917</v>
      </c>
      <c r="AO98" s="73">
        <v>8162071</v>
      </c>
      <c r="AP98" s="73">
        <v>7713990</v>
      </c>
      <c r="AQ98" s="73">
        <v>7541167</v>
      </c>
      <c r="AR98" s="73">
        <v>5850974</v>
      </c>
      <c r="AS98" s="73">
        <v>5791144</v>
      </c>
      <c r="AT98" s="73">
        <v>3953374</v>
      </c>
      <c r="AU98" s="73">
        <v>4553732</v>
      </c>
      <c r="AV98">
        <v>2677506</v>
      </c>
      <c r="AW98">
        <v>4395648</v>
      </c>
      <c r="AX98">
        <v>5102240</v>
      </c>
    </row>
    <row r="99" spans="1:50" ht="14.5" x14ac:dyDescent="0.35">
      <c r="A99" s="72" t="s">
        <v>193</v>
      </c>
      <c r="B99" s="72" t="str">
        <f>VLOOKUP(Tabelle_Abfrage_von_MS_Access_Database3[[#This Row],[LAND]],Texte!$A$4:$C$261,Texte!$A$1+1,FALSE)</f>
        <v>Eritrea</v>
      </c>
      <c r="C99" s="72" t="s">
        <v>525</v>
      </c>
      <c r="D99" s="72" t="s">
        <v>557</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3">
        <v>13446</v>
      </c>
      <c r="W99" s="73">
        <v>5523</v>
      </c>
      <c r="X99" s="73">
        <v>6831</v>
      </c>
      <c r="Y99" s="73">
        <v>1520679</v>
      </c>
      <c r="Z99" s="73">
        <v>54944</v>
      </c>
      <c r="AA99" s="73">
        <v>176889</v>
      </c>
      <c r="AB99" s="73">
        <v>317986</v>
      </c>
      <c r="AC99" s="73">
        <v>209920</v>
      </c>
      <c r="AD99" s="73">
        <v>153672</v>
      </c>
      <c r="AE99" s="73">
        <v>104989</v>
      </c>
      <c r="AF99" s="73">
        <v>54369</v>
      </c>
      <c r="AG99" s="73">
        <v>1478322</v>
      </c>
      <c r="AH99" s="73">
        <v>50376</v>
      </c>
      <c r="AI99" s="73">
        <v>128213</v>
      </c>
      <c r="AJ99" s="73">
        <v>31384</v>
      </c>
      <c r="AK99" s="73">
        <v>13763</v>
      </c>
      <c r="AL99" s="73">
        <v>41500</v>
      </c>
      <c r="AM99" s="73">
        <v>8820</v>
      </c>
      <c r="AN99" s="73">
        <v>283</v>
      </c>
      <c r="AO99" s="73">
        <v>417</v>
      </c>
      <c r="AP99" s="73">
        <v>1239</v>
      </c>
      <c r="AQ99" s="73">
        <v>8500</v>
      </c>
      <c r="AR99" s="73">
        <v>3104</v>
      </c>
      <c r="AS99" s="73">
        <v>2135</v>
      </c>
      <c r="AT99" s="73">
        <v>2375</v>
      </c>
      <c r="AU99" s="73">
        <v>56481</v>
      </c>
      <c r="AV99">
        <v>7267</v>
      </c>
      <c r="AW99">
        <v>4639</v>
      </c>
      <c r="AX99">
        <v>40021</v>
      </c>
    </row>
    <row r="100" spans="1:50" ht="14.5" x14ac:dyDescent="0.35">
      <c r="A100" s="72" t="s">
        <v>195</v>
      </c>
      <c r="B100" s="72" t="str">
        <f>VLOOKUP(Tabelle_Abfrage_von_MS_Access_Database3[[#This Row],[LAND]],Texte!$A$4:$C$261,Texte!$A$1+1,FALSE)</f>
        <v>Dschibuti</v>
      </c>
      <c r="C100" s="72" t="s">
        <v>508</v>
      </c>
      <c r="D100" s="72" t="s">
        <v>557</v>
      </c>
      <c r="E100" s="73">
        <v>0</v>
      </c>
      <c r="F100" s="73">
        <v>0</v>
      </c>
      <c r="G100" s="73">
        <v>22000</v>
      </c>
      <c r="H100" s="73">
        <v>0</v>
      </c>
      <c r="I100" s="73">
        <v>1000</v>
      </c>
      <c r="J100" s="73">
        <v>0</v>
      </c>
      <c r="K100" s="73">
        <v>0</v>
      </c>
      <c r="L100" s="73">
        <v>6000</v>
      </c>
      <c r="M100" s="73">
        <v>4000</v>
      </c>
      <c r="N100" s="73">
        <v>9000</v>
      </c>
      <c r="O100" s="73">
        <v>3000</v>
      </c>
      <c r="P100" s="73">
        <v>4000</v>
      </c>
      <c r="Q100" s="73">
        <v>5000</v>
      </c>
      <c r="R100" s="73">
        <v>0</v>
      </c>
      <c r="S100" s="73">
        <v>8000</v>
      </c>
      <c r="T100" s="73">
        <v>2000</v>
      </c>
      <c r="U100" s="73">
        <v>0</v>
      </c>
      <c r="V100" s="73">
        <v>364</v>
      </c>
      <c r="W100" s="73">
        <v>27834</v>
      </c>
      <c r="X100" s="73">
        <v>45130</v>
      </c>
      <c r="Y100" s="73">
        <v>66858</v>
      </c>
      <c r="Z100" s="73">
        <v>53996</v>
      </c>
      <c r="AA100" s="73">
        <v>88153</v>
      </c>
      <c r="AB100" s="73">
        <v>68825</v>
      </c>
      <c r="AC100" s="73">
        <v>26764</v>
      </c>
      <c r="AD100" s="73">
        <v>22969</v>
      </c>
      <c r="AE100" s="73">
        <v>81959</v>
      </c>
      <c r="AF100" s="73">
        <v>69607</v>
      </c>
      <c r="AG100" s="73">
        <v>150</v>
      </c>
      <c r="AH100" s="73">
        <v>34561</v>
      </c>
      <c r="AI100" s="73">
        <v>221205</v>
      </c>
      <c r="AJ100" s="73">
        <v>53360</v>
      </c>
      <c r="AK100" s="73">
        <v>16160</v>
      </c>
      <c r="AL100" s="73">
        <v>91559</v>
      </c>
      <c r="AM100" s="73">
        <v>2181</v>
      </c>
      <c r="AN100" s="73">
        <v>232</v>
      </c>
      <c r="AO100" s="73">
        <v>53842</v>
      </c>
      <c r="AP100" s="73">
        <v>37478</v>
      </c>
      <c r="AQ100" s="73">
        <v>245236</v>
      </c>
      <c r="AR100" s="73">
        <v>2287562</v>
      </c>
      <c r="AS100" s="73">
        <v>206707</v>
      </c>
      <c r="AT100" s="73">
        <v>394813</v>
      </c>
      <c r="AU100" s="73">
        <v>72234</v>
      </c>
      <c r="AV100">
        <v>50872</v>
      </c>
      <c r="AW100">
        <v>144029</v>
      </c>
      <c r="AX100">
        <v>142802</v>
      </c>
    </row>
    <row r="101" spans="1:50" ht="14.5" x14ac:dyDescent="0.35">
      <c r="A101" s="72" t="s">
        <v>197</v>
      </c>
      <c r="B101" s="72" t="str">
        <f>VLOOKUP(Tabelle_Abfrage_von_MS_Access_Database3[[#This Row],[LAND]],Texte!$A$4:$C$261,Texte!$A$1+1,FALSE)</f>
        <v>Somalia</v>
      </c>
      <c r="C101" s="72" t="s">
        <v>508</v>
      </c>
      <c r="D101" s="72" t="s">
        <v>557</v>
      </c>
      <c r="E101" s="73">
        <v>0</v>
      </c>
      <c r="F101" s="73">
        <v>0</v>
      </c>
      <c r="G101" s="73">
        <v>10000</v>
      </c>
      <c r="H101" s="73">
        <v>0</v>
      </c>
      <c r="I101" s="73">
        <v>15000</v>
      </c>
      <c r="J101" s="73">
        <v>30000</v>
      </c>
      <c r="K101" s="73">
        <v>68000</v>
      </c>
      <c r="L101" s="73">
        <v>0</v>
      </c>
      <c r="M101" s="73">
        <v>5000</v>
      </c>
      <c r="N101" s="73">
        <v>2000</v>
      </c>
      <c r="O101" s="73">
        <v>39000</v>
      </c>
      <c r="P101" s="73">
        <v>14000</v>
      </c>
      <c r="Q101" s="73">
        <v>18000</v>
      </c>
      <c r="R101" s="73">
        <v>245000</v>
      </c>
      <c r="S101" s="73">
        <v>767000</v>
      </c>
      <c r="T101" s="73">
        <v>185000</v>
      </c>
      <c r="U101" s="73">
        <v>33000</v>
      </c>
      <c r="V101" s="73">
        <v>81102</v>
      </c>
      <c r="W101" s="73">
        <v>131030</v>
      </c>
      <c r="X101" s="73">
        <v>61627</v>
      </c>
      <c r="Y101" s="73">
        <v>38008</v>
      </c>
      <c r="Z101" s="73">
        <v>26236</v>
      </c>
      <c r="AA101" s="73">
        <v>43968</v>
      </c>
      <c r="AB101" s="73">
        <v>25287</v>
      </c>
      <c r="AC101" s="73">
        <v>1031</v>
      </c>
      <c r="AD101" s="73">
        <v>75274</v>
      </c>
      <c r="AE101" s="73">
        <v>20786</v>
      </c>
      <c r="AF101" s="73">
        <v>25307</v>
      </c>
      <c r="AG101" s="73">
        <v>206007</v>
      </c>
      <c r="AH101" s="73">
        <v>61721</v>
      </c>
      <c r="AI101" s="73">
        <v>123435</v>
      </c>
      <c r="AJ101" s="73">
        <v>108015</v>
      </c>
      <c r="AK101" s="73">
        <v>47810</v>
      </c>
      <c r="AL101" s="73">
        <v>27082</v>
      </c>
      <c r="AM101" s="73">
        <v>60874</v>
      </c>
      <c r="AN101" s="73">
        <v>128766</v>
      </c>
      <c r="AO101" s="73">
        <v>108670</v>
      </c>
      <c r="AP101" s="73">
        <v>576039</v>
      </c>
      <c r="AQ101" s="73">
        <v>346367</v>
      </c>
      <c r="AR101" s="73">
        <v>73404</v>
      </c>
      <c r="AS101" s="73">
        <v>104040</v>
      </c>
      <c r="AT101" s="73">
        <v>74859</v>
      </c>
      <c r="AU101" s="73">
        <v>101543</v>
      </c>
      <c r="AV101">
        <v>290104</v>
      </c>
      <c r="AW101">
        <v>144735</v>
      </c>
      <c r="AX101">
        <v>154905</v>
      </c>
    </row>
    <row r="102" spans="1:50" ht="14.5" x14ac:dyDescent="0.35">
      <c r="A102" s="72" t="s">
        <v>199</v>
      </c>
      <c r="B102" s="72" t="str">
        <f>VLOOKUP(Tabelle_Abfrage_von_MS_Access_Database3[[#This Row],[LAND]],Texte!$A$4:$C$261,Texte!$A$1+1,FALSE)</f>
        <v>Kenia</v>
      </c>
      <c r="C102" s="72" t="s">
        <v>508</v>
      </c>
      <c r="D102" s="72" t="s">
        <v>557</v>
      </c>
      <c r="E102" s="73">
        <v>6511000</v>
      </c>
      <c r="F102" s="73">
        <v>6558000</v>
      </c>
      <c r="G102" s="73">
        <v>7617000</v>
      </c>
      <c r="H102" s="73">
        <v>6905000</v>
      </c>
      <c r="I102" s="73">
        <v>6111000</v>
      </c>
      <c r="J102" s="73">
        <v>5506000</v>
      </c>
      <c r="K102" s="73">
        <v>7021000</v>
      </c>
      <c r="L102" s="73">
        <v>6788000</v>
      </c>
      <c r="M102" s="73">
        <v>7728000</v>
      </c>
      <c r="N102" s="73">
        <v>4731000</v>
      </c>
      <c r="O102" s="73">
        <v>4642000</v>
      </c>
      <c r="P102" s="73">
        <v>5902000</v>
      </c>
      <c r="Q102" s="73">
        <v>2957000</v>
      </c>
      <c r="R102" s="73">
        <v>3898000</v>
      </c>
      <c r="S102" s="73">
        <v>3886000</v>
      </c>
      <c r="T102" s="73">
        <v>3222000</v>
      </c>
      <c r="U102" s="73">
        <v>4695000</v>
      </c>
      <c r="V102" s="73">
        <v>4157687</v>
      </c>
      <c r="W102" s="73">
        <v>12737151</v>
      </c>
      <c r="X102" s="73">
        <v>4623955</v>
      </c>
      <c r="Y102" s="73">
        <v>1788918</v>
      </c>
      <c r="Z102" s="73">
        <v>2304675</v>
      </c>
      <c r="AA102" s="73">
        <v>5433234</v>
      </c>
      <c r="AB102" s="73">
        <v>4175988</v>
      </c>
      <c r="AC102" s="73">
        <v>3169107</v>
      </c>
      <c r="AD102" s="73">
        <v>6424212</v>
      </c>
      <c r="AE102" s="73">
        <v>3811963</v>
      </c>
      <c r="AF102" s="73">
        <v>2966586</v>
      </c>
      <c r="AG102" s="73">
        <v>5604257</v>
      </c>
      <c r="AH102" s="73">
        <v>10412714</v>
      </c>
      <c r="AI102" s="73">
        <v>15532853</v>
      </c>
      <c r="AJ102" s="73">
        <v>3460839</v>
      </c>
      <c r="AK102" s="73">
        <v>3984110</v>
      </c>
      <c r="AL102" s="73">
        <v>8227291</v>
      </c>
      <c r="AM102" s="73">
        <v>7568713</v>
      </c>
      <c r="AN102" s="73">
        <v>8019170</v>
      </c>
      <c r="AO102" s="73">
        <v>9242435</v>
      </c>
      <c r="AP102" s="73">
        <v>8569106</v>
      </c>
      <c r="AQ102" s="73">
        <v>7419261</v>
      </c>
      <c r="AR102" s="73">
        <v>9894344</v>
      </c>
      <c r="AS102" s="73">
        <v>11620825</v>
      </c>
      <c r="AT102" s="73">
        <v>11780826</v>
      </c>
      <c r="AU102" s="73">
        <v>9057076</v>
      </c>
      <c r="AV102">
        <v>10872303</v>
      </c>
      <c r="AW102">
        <v>14372200</v>
      </c>
      <c r="AX102">
        <v>15314826</v>
      </c>
    </row>
    <row r="103" spans="1:50" ht="14.5" x14ac:dyDescent="0.35">
      <c r="A103" s="72" t="s">
        <v>201</v>
      </c>
      <c r="B103" s="72" t="str">
        <f>VLOOKUP(Tabelle_Abfrage_von_MS_Access_Database3[[#This Row],[LAND]],Texte!$A$4:$C$261,Texte!$A$1+1,FALSE)</f>
        <v>Uganda</v>
      </c>
      <c r="C103" s="72" t="s">
        <v>508</v>
      </c>
      <c r="D103" s="72" t="s">
        <v>557</v>
      </c>
      <c r="E103" s="73">
        <v>1378000</v>
      </c>
      <c r="F103" s="73">
        <v>766000</v>
      </c>
      <c r="G103" s="73">
        <v>130000</v>
      </c>
      <c r="H103" s="73">
        <v>908000</v>
      </c>
      <c r="I103" s="73">
        <v>1700000</v>
      </c>
      <c r="J103" s="73">
        <v>1883000</v>
      </c>
      <c r="K103" s="73">
        <v>2722000</v>
      </c>
      <c r="L103" s="73">
        <v>2860000</v>
      </c>
      <c r="M103" s="73">
        <v>1273000</v>
      </c>
      <c r="N103" s="73">
        <v>810000</v>
      </c>
      <c r="O103" s="73">
        <v>984000</v>
      </c>
      <c r="P103" s="73">
        <v>984000</v>
      </c>
      <c r="Q103" s="73">
        <v>1414000</v>
      </c>
      <c r="R103" s="73">
        <v>675000</v>
      </c>
      <c r="S103" s="73">
        <v>1858000</v>
      </c>
      <c r="T103" s="73">
        <v>1030000</v>
      </c>
      <c r="U103" s="73">
        <v>3091000</v>
      </c>
      <c r="V103" s="73">
        <v>3486624</v>
      </c>
      <c r="W103" s="73">
        <v>4184937</v>
      </c>
      <c r="X103" s="73">
        <v>3480667</v>
      </c>
      <c r="Y103" s="73">
        <v>4304703</v>
      </c>
      <c r="Z103" s="73">
        <v>2835039</v>
      </c>
      <c r="AA103" s="73">
        <v>1681575</v>
      </c>
      <c r="AB103" s="73">
        <v>1257640</v>
      </c>
      <c r="AC103" s="73">
        <v>759249</v>
      </c>
      <c r="AD103" s="73">
        <v>1429454</v>
      </c>
      <c r="AE103" s="73">
        <v>1097050</v>
      </c>
      <c r="AF103" s="73">
        <v>787403</v>
      </c>
      <c r="AG103" s="73">
        <v>1044480</v>
      </c>
      <c r="AH103" s="73">
        <v>734780</v>
      </c>
      <c r="AI103" s="73">
        <v>839553</v>
      </c>
      <c r="AJ103" s="73">
        <v>740650</v>
      </c>
      <c r="AK103" s="73">
        <v>741689</v>
      </c>
      <c r="AL103" s="73">
        <v>2339066</v>
      </c>
      <c r="AM103" s="73">
        <v>2683414</v>
      </c>
      <c r="AN103" s="73">
        <v>2679267</v>
      </c>
      <c r="AO103" s="73">
        <v>5244556</v>
      </c>
      <c r="AP103" s="73">
        <v>3484568</v>
      </c>
      <c r="AQ103" s="73">
        <v>3258753</v>
      </c>
      <c r="AR103" s="73">
        <v>2312944</v>
      </c>
      <c r="AS103" s="73">
        <v>4065241</v>
      </c>
      <c r="AT103" s="73">
        <v>3120478</v>
      </c>
      <c r="AU103" s="73">
        <v>3055459</v>
      </c>
      <c r="AV103">
        <v>3764366</v>
      </c>
      <c r="AW103">
        <v>6972146</v>
      </c>
      <c r="AX103">
        <v>10743349</v>
      </c>
    </row>
    <row r="104" spans="1:50" ht="14.5" x14ac:dyDescent="0.35">
      <c r="A104" s="72" t="s">
        <v>203</v>
      </c>
      <c r="B104" s="72" t="str">
        <f>VLOOKUP(Tabelle_Abfrage_von_MS_Access_Database3[[#This Row],[LAND]],Texte!$A$4:$C$261,Texte!$A$1+1,FALSE)</f>
        <v>Tansania</v>
      </c>
      <c r="C104" s="72" t="s">
        <v>508</v>
      </c>
      <c r="D104" s="72" t="s">
        <v>557</v>
      </c>
      <c r="E104" s="73">
        <v>1912000</v>
      </c>
      <c r="F104" s="73">
        <v>2265000</v>
      </c>
      <c r="G104" s="73">
        <v>2970000</v>
      </c>
      <c r="H104" s="73">
        <v>1111000</v>
      </c>
      <c r="I104" s="73">
        <v>1355000</v>
      </c>
      <c r="J104" s="73">
        <v>978000</v>
      </c>
      <c r="K104" s="73">
        <v>1603000</v>
      </c>
      <c r="L104" s="73">
        <v>1459000</v>
      </c>
      <c r="M104" s="73">
        <v>2161000</v>
      </c>
      <c r="N104" s="73">
        <v>1735000</v>
      </c>
      <c r="O104" s="73">
        <v>4733000</v>
      </c>
      <c r="P104" s="73">
        <v>3353000</v>
      </c>
      <c r="Q104" s="73">
        <v>3012000</v>
      </c>
      <c r="R104" s="73">
        <v>1997000</v>
      </c>
      <c r="S104" s="73">
        <v>1307000</v>
      </c>
      <c r="T104" s="73">
        <v>889000</v>
      </c>
      <c r="U104" s="73">
        <v>2318000</v>
      </c>
      <c r="V104" s="73">
        <v>663286</v>
      </c>
      <c r="W104" s="73">
        <v>1646837</v>
      </c>
      <c r="X104" s="73">
        <v>1616825</v>
      </c>
      <c r="Y104" s="73">
        <v>729347</v>
      </c>
      <c r="Z104" s="73">
        <v>2568549</v>
      </c>
      <c r="AA104" s="73">
        <v>1645820</v>
      </c>
      <c r="AB104" s="73">
        <v>2408227</v>
      </c>
      <c r="AC104" s="73">
        <v>1854294</v>
      </c>
      <c r="AD104" s="73">
        <v>1041254</v>
      </c>
      <c r="AE104" s="73">
        <v>1074421</v>
      </c>
      <c r="AF104" s="73">
        <v>1300507</v>
      </c>
      <c r="AG104" s="73">
        <v>1176058</v>
      </c>
      <c r="AH104" s="73">
        <v>3568828</v>
      </c>
      <c r="AI104" s="73">
        <v>5382267</v>
      </c>
      <c r="AJ104" s="73">
        <v>3353770</v>
      </c>
      <c r="AK104" s="73">
        <v>2946828</v>
      </c>
      <c r="AL104" s="73">
        <v>4467454</v>
      </c>
      <c r="AM104" s="73">
        <v>827890</v>
      </c>
      <c r="AN104" s="73">
        <v>799515</v>
      </c>
      <c r="AO104" s="73">
        <v>998434</v>
      </c>
      <c r="AP104" s="73">
        <v>1854190</v>
      </c>
      <c r="AQ104" s="73">
        <v>1886693</v>
      </c>
      <c r="AR104" s="73">
        <v>1828265</v>
      </c>
      <c r="AS104" s="73">
        <v>2692421</v>
      </c>
      <c r="AT104" s="73">
        <v>2877887</v>
      </c>
      <c r="AU104" s="73">
        <v>2500337</v>
      </c>
      <c r="AV104">
        <v>2664249</v>
      </c>
      <c r="AW104">
        <v>3144808</v>
      </c>
      <c r="AX104">
        <v>2942610</v>
      </c>
    </row>
    <row r="105" spans="1:50" ht="14.5" x14ac:dyDescent="0.35">
      <c r="A105" s="72" t="s">
        <v>205</v>
      </c>
      <c r="B105" s="72" t="str">
        <f>VLOOKUP(Tabelle_Abfrage_von_MS_Access_Database3[[#This Row],[LAND]],Texte!$A$4:$C$261,Texte!$A$1+1,FALSE)</f>
        <v>Seychellen</v>
      </c>
      <c r="C105" s="72" t="s">
        <v>508</v>
      </c>
      <c r="D105" s="72" t="s">
        <v>557</v>
      </c>
      <c r="E105" s="73">
        <v>25000</v>
      </c>
      <c r="F105" s="73">
        <v>12000</v>
      </c>
      <c r="G105" s="73">
        <v>5000</v>
      </c>
      <c r="H105" s="73">
        <v>2000</v>
      </c>
      <c r="I105" s="73">
        <v>6000</v>
      </c>
      <c r="J105" s="73">
        <v>6000</v>
      </c>
      <c r="K105" s="73">
        <v>0</v>
      </c>
      <c r="L105" s="73">
        <v>2000</v>
      </c>
      <c r="M105" s="73">
        <v>0</v>
      </c>
      <c r="N105" s="73">
        <v>0</v>
      </c>
      <c r="O105" s="73">
        <v>29000</v>
      </c>
      <c r="P105" s="73">
        <v>73000</v>
      </c>
      <c r="Q105" s="73">
        <v>43000</v>
      </c>
      <c r="R105" s="73">
        <v>16000</v>
      </c>
      <c r="S105" s="73">
        <v>16000</v>
      </c>
      <c r="T105" s="73">
        <v>67000</v>
      </c>
      <c r="U105" s="73">
        <v>36000</v>
      </c>
      <c r="V105" s="73">
        <v>16279</v>
      </c>
      <c r="W105" s="73">
        <v>45567</v>
      </c>
      <c r="X105" s="73">
        <v>184954</v>
      </c>
      <c r="Y105" s="73">
        <v>249340</v>
      </c>
      <c r="Z105" s="73">
        <v>663355</v>
      </c>
      <c r="AA105" s="73">
        <v>1195177</v>
      </c>
      <c r="AB105" s="73">
        <v>1782989</v>
      </c>
      <c r="AC105" s="73">
        <v>1605858</v>
      </c>
      <c r="AD105" s="73">
        <v>1036869</v>
      </c>
      <c r="AE105" s="73">
        <v>942398</v>
      </c>
      <c r="AF105" s="73">
        <v>4882360</v>
      </c>
      <c r="AG105" s="73">
        <v>4697141</v>
      </c>
      <c r="AH105" s="73">
        <v>6209136</v>
      </c>
      <c r="AI105" s="73">
        <v>4367448</v>
      </c>
      <c r="AJ105" s="73">
        <v>4023481</v>
      </c>
      <c r="AK105" s="73">
        <v>8386223</v>
      </c>
      <c r="AL105" s="73">
        <v>10185242</v>
      </c>
      <c r="AM105" s="73">
        <v>9118728</v>
      </c>
      <c r="AN105" s="73">
        <v>11845054</v>
      </c>
      <c r="AO105" s="73">
        <v>11872893</v>
      </c>
      <c r="AP105" s="73">
        <v>6561712</v>
      </c>
      <c r="AQ105" s="73">
        <v>568201</v>
      </c>
      <c r="AR105" s="73">
        <v>138876</v>
      </c>
      <c r="AS105" s="73">
        <v>102180</v>
      </c>
      <c r="AT105" s="73">
        <v>48484</v>
      </c>
      <c r="AU105" s="73">
        <v>96626</v>
      </c>
      <c r="AV105">
        <v>124178</v>
      </c>
      <c r="AW105">
        <v>117763</v>
      </c>
      <c r="AX105">
        <v>139449</v>
      </c>
    </row>
    <row r="106" spans="1:50" ht="14.5" x14ac:dyDescent="0.35">
      <c r="A106" s="72" t="s">
        <v>207</v>
      </c>
      <c r="B106" s="72" t="str">
        <f>VLOOKUP(Tabelle_Abfrage_von_MS_Access_Database3[[#This Row],[LAND]],Texte!$A$4:$C$261,Texte!$A$1+1,FALSE)</f>
        <v>Brit.Geb.im Ind.Ozean</v>
      </c>
      <c r="C106" s="72" t="s">
        <v>516</v>
      </c>
      <c r="D106" s="72" t="s">
        <v>557</v>
      </c>
      <c r="E106" s="73">
        <v>0</v>
      </c>
      <c r="F106" s="73">
        <v>0</v>
      </c>
      <c r="G106" s="73">
        <v>0</v>
      </c>
      <c r="H106" s="73">
        <v>0</v>
      </c>
      <c r="I106" s="73">
        <v>0</v>
      </c>
      <c r="J106" s="73">
        <v>0</v>
      </c>
      <c r="K106" s="73">
        <v>0</v>
      </c>
      <c r="L106" s="73">
        <v>0</v>
      </c>
      <c r="M106" s="73">
        <v>3000</v>
      </c>
      <c r="N106" s="73">
        <v>1000</v>
      </c>
      <c r="O106" s="73">
        <v>18000</v>
      </c>
      <c r="P106" s="73">
        <v>59000</v>
      </c>
      <c r="Q106" s="73">
        <v>134000</v>
      </c>
      <c r="R106" s="73">
        <v>19000</v>
      </c>
      <c r="S106" s="73">
        <v>0</v>
      </c>
      <c r="T106" s="73">
        <v>6000</v>
      </c>
      <c r="U106" s="73">
        <v>30000</v>
      </c>
      <c r="V106" s="73">
        <v>70128</v>
      </c>
      <c r="W106" s="73">
        <v>16643</v>
      </c>
      <c r="X106" s="73">
        <v>33938</v>
      </c>
      <c r="Y106" s="73">
        <v>23402</v>
      </c>
      <c r="Z106" s="73">
        <v>44040</v>
      </c>
      <c r="AA106" s="73">
        <v>48400</v>
      </c>
      <c r="AB106" s="73">
        <v>24403</v>
      </c>
      <c r="AC106" s="73">
        <v>61952</v>
      </c>
      <c r="AD106" s="73">
        <v>7969</v>
      </c>
      <c r="AE106" s="73">
        <v>111109</v>
      </c>
      <c r="AF106" s="73">
        <v>17</v>
      </c>
      <c r="AG106" s="73">
        <v>1659</v>
      </c>
      <c r="AH106" s="73">
        <v>120273</v>
      </c>
      <c r="AI106" s="73">
        <v>2248</v>
      </c>
      <c r="AJ106" s="73">
        <v>6238</v>
      </c>
      <c r="AK106" s="73">
        <v>50163</v>
      </c>
      <c r="AL106" s="73">
        <v>79</v>
      </c>
      <c r="AM106" s="73">
        <v>102931</v>
      </c>
      <c r="AN106" s="74"/>
      <c r="AO106" s="74"/>
      <c r="AP106" s="74"/>
      <c r="AQ106" s="74"/>
      <c r="AR106" s="74"/>
      <c r="AS106" s="74"/>
      <c r="AT106" s="74"/>
      <c r="AU106" s="74"/>
      <c r="AX106">
        <v>33724</v>
      </c>
    </row>
    <row r="107" spans="1:50" ht="14.5" x14ac:dyDescent="0.35">
      <c r="A107" s="72" t="s">
        <v>209</v>
      </c>
      <c r="B107" s="72" t="str">
        <f>VLOOKUP(Tabelle_Abfrage_von_MS_Access_Database3[[#This Row],[LAND]],Texte!$A$4:$C$261,Texte!$A$1+1,FALSE)</f>
        <v>Mosambik</v>
      </c>
      <c r="C107" s="72" t="s">
        <v>508</v>
      </c>
      <c r="D107" s="72" t="s">
        <v>557</v>
      </c>
      <c r="E107" s="73">
        <v>2266000</v>
      </c>
      <c r="F107" s="73">
        <v>766000</v>
      </c>
      <c r="G107" s="73">
        <v>2962000</v>
      </c>
      <c r="H107" s="73">
        <v>709000</v>
      </c>
      <c r="I107" s="73">
        <v>166000</v>
      </c>
      <c r="J107" s="73">
        <v>275000</v>
      </c>
      <c r="K107" s="73">
        <v>307000</v>
      </c>
      <c r="L107" s="73">
        <v>42000</v>
      </c>
      <c r="M107" s="73">
        <v>17000</v>
      </c>
      <c r="N107" s="73">
        <v>85000</v>
      </c>
      <c r="O107" s="73">
        <v>53000</v>
      </c>
      <c r="P107" s="73">
        <v>49000</v>
      </c>
      <c r="Q107" s="73">
        <v>415000</v>
      </c>
      <c r="R107" s="73">
        <v>224000</v>
      </c>
      <c r="S107" s="73">
        <v>453000</v>
      </c>
      <c r="T107" s="73">
        <v>544000</v>
      </c>
      <c r="U107" s="73">
        <v>195000</v>
      </c>
      <c r="V107" s="73">
        <v>147598</v>
      </c>
      <c r="W107" s="73">
        <v>85535</v>
      </c>
      <c r="X107" s="73">
        <v>582109</v>
      </c>
      <c r="Y107" s="73">
        <v>937407</v>
      </c>
      <c r="Z107" s="73">
        <v>909717</v>
      </c>
      <c r="AA107" s="73">
        <v>9037958</v>
      </c>
      <c r="AB107" s="73">
        <v>50100041</v>
      </c>
      <c r="AC107" s="73">
        <v>26869455</v>
      </c>
      <c r="AD107" s="73">
        <v>5154358</v>
      </c>
      <c r="AE107" s="73">
        <v>15153339</v>
      </c>
      <c r="AF107" s="73">
        <v>326356</v>
      </c>
      <c r="AG107" s="73">
        <v>13048173</v>
      </c>
      <c r="AH107" s="73">
        <v>8498476</v>
      </c>
      <c r="AI107" s="73">
        <v>1880128</v>
      </c>
      <c r="AJ107" s="73">
        <v>560991</v>
      </c>
      <c r="AK107" s="73">
        <v>348916</v>
      </c>
      <c r="AL107" s="73">
        <v>4332870</v>
      </c>
      <c r="AM107" s="73">
        <v>8520847</v>
      </c>
      <c r="AN107" s="73">
        <v>2637546</v>
      </c>
      <c r="AO107" s="73">
        <v>3733321</v>
      </c>
      <c r="AP107" s="73">
        <v>10967247</v>
      </c>
      <c r="AQ107" s="73">
        <v>1964184</v>
      </c>
      <c r="AR107" s="73">
        <v>3043533</v>
      </c>
      <c r="AS107" s="73">
        <v>43115710</v>
      </c>
      <c r="AT107" s="73">
        <v>23454981</v>
      </c>
      <c r="AU107" s="73">
        <v>17169225</v>
      </c>
      <c r="AV107">
        <v>6645834</v>
      </c>
      <c r="AW107">
        <v>23523484</v>
      </c>
      <c r="AX107">
        <v>8506393</v>
      </c>
    </row>
    <row r="108" spans="1:50" ht="14.5" x14ac:dyDescent="0.35">
      <c r="A108" s="72" t="s">
        <v>211</v>
      </c>
      <c r="B108" s="72" t="str">
        <f>VLOOKUP(Tabelle_Abfrage_von_MS_Access_Database3[[#This Row],[LAND]],Texte!$A$4:$C$261,Texte!$A$1+1,FALSE)</f>
        <v>Madagaskar</v>
      </c>
      <c r="C108" s="72" t="s">
        <v>508</v>
      </c>
      <c r="D108" s="72" t="s">
        <v>557</v>
      </c>
      <c r="E108" s="73">
        <v>884000</v>
      </c>
      <c r="F108" s="73">
        <v>845000</v>
      </c>
      <c r="G108" s="73">
        <v>924000</v>
      </c>
      <c r="H108" s="73">
        <v>636000</v>
      </c>
      <c r="I108" s="73">
        <v>990000</v>
      </c>
      <c r="J108" s="73">
        <v>491000</v>
      </c>
      <c r="K108" s="73">
        <v>1058000</v>
      </c>
      <c r="L108" s="73">
        <v>1412000</v>
      </c>
      <c r="M108" s="73">
        <v>1638000</v>
      </c>
      <c r="N108" s="73">
        <v>1986000</v>
      </c>
      <c r="O108" s="73">
        <v>4909000</v>
      </c>
      <c r="P108" s="73">
        <v>8072000</v>
      </c>
      <c r="Q108" s="73">
        <v>3479000</v>
      </c>
      <c r="R108" s="73">
        <v>4836000</v>
      </c>
      <c r="S108" s="73">
        <v>7316000</v>
      </c>
      <c r="T108" s="73">
        <v>6142000</v>
      </c>
      <c r="U108" s="73">
        <v>2417000</v>
      </c>
      <c r="V108" s="73">
        <v>1755412</v>
      </c>
      <c r="W108" s="73">
        <v>1076792</v>
      </c>
      <c r="X108" s="73">
        <v>1689936</v>
      </c>
      <c r="Y108" s="73">
        <v>2687950</v>
      </c>
      <c r="Z108" s="73">
        <v>2524946</v>
      </c>
      <c r="AA108" s="73">
        <v>2631703</v>
      </c>
      <c r="AB108" s="73">
        <v>4523225</v>
      </c>
      <c r="AC108" s="73">
        <v>3307957</v>
      </c>
      <c r="AD108" s="73">
        <v>3063039</v>
      </c>
      <c r="AE108" s="73">
        <v>2973856</v>
      </c>
      <c r="AF108" s="73">
        <v>3180639</v>
      </c>
      <c r="AG108" s="73">
        <v>3417138</v>
      </c>
      <c r="AH108" s="73">
        <v>3881766</v>
      </c>
      <c r="AI108" s="73">
        <v>5151624</v>
      </c>
      <c r="AJ108" s="73">
        <v>4456804</v>
      </c>
      <c r="AK108" s="73">
        <v>4388586</v>
      </c>
      <c r="AL108" s="73">
        <v>6097179</v>
      </c>
      <c r="AM108" s="73">
        <v>5804610</v>
      </c>
      <c r="AN108" s="73">
        <v>4108502</v>
      </c>
      <c r="AO108" s="73">
        <v>5491010</v>
      </c>
      <c r="AP108" s="73">
        <v>7953968</v>
      </c>
      <c r="AQ108" s="73">
        <v>8279501</v>
      </c>
      <c r="AR108" s="73">
        <v>11816982</v>
      </c>
      <c r="AS108" s="73">
        <v>10490190</v>
      </c>
      <c r="AT108" s="73">
        <v>12008118</v>
      </c>
      <c r="AU108" s="73">
        <v>8246807</v>
      </c>
      <c r="AV108">
        <v>8550881</v>
      </c>
      <c r="AW108">
        <v>11851180</v>
      </c>
      <c r="AX108">
        <v>13651824</v>
      </c>
    </row>
    <row r="109" spans="1:50" ht="14.5" x14ac:dyDescent="0.35">
      <c r="A109" s="72" t="s">
        <v>213</v>
      </c>
      <c r="B109" s="72" t="str">
        <f>VLOOKUP(Tabelle_Abfrage_von_MS_Access_Database3[[#This Row],[LAND]],Texte!$A$4:$C$261,Texte!$A$1+1,FALSE)</f>
        <v>Reunion</v>
      </c>
      <c r="C109" s="72" t="s">
        <v>508</v>
      </c>
      <c r="D109" s="72" t="s">
        <v>526</v>
      </c>
      <c r="E109" s="73">
        <v>1000</v>
      </c>
      <c r="F109" s="73">
        <v>3000</v>
      </c>
      <c r="G109" s="73">
        <v>4000</v>
      </c>
      <c r="H109" s="73">
        <v>8000</v>
      </c>
      <c r="I109" s="73">
        <v>0</v>
      </c>
      <c r="J109" s="73">
        <v>0</v>
      </c>
      <c r="K109" s="73">
        <v>4000</v>
      </c>
      <c r="L109" s="73">
        <v>9000</v>
      </c>
      <c r="M109" s="73">
        <v>13000</v>
      </c>
      <c r="N109" s="73">
        <v>25000</v>
      </c>
      <c r="O109" s="73">
        <v>58000</v>
      </c>
      <c r="P109" s="73">
        <v>55000</v>
      </c>
      <c r="Q109" s="73">
        <v>114000</v>
      </c>
      <c r="R109" s="73">
        <v>138000</v>
      </c>
      <c r="S109" s="73">
        <v>88000</v>
      </c>
      <c r="T109" s="73">
        <v>110000</v>
      </c>
      <c r="U109" s="73">
        <v>140000</v>
      </c>
      <c r="V109" s="73">
        <v>98979</v>
      </c>
      <c r="W109" s="73">
        <v>106320</v>
      </c>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row>
    <row r="110" spans="1:50" ht="14.5" x14ac:dyDescent="0.35">
      <c r="A110" s="72" t="s">
        <v>215</v>
      </c>
      <c r="B110" s="72" t="str">
        <f>VLOOKUP(Tabelle_Abfrage_von_MS_Access_Database3[[#This Row],[LAND]],Texte!$A$4:$C$261,Texte!$A$1+1,FALSE)</f>
        <v>Mauritius</v>
      </c>
      <c r="C110" s="72" t="s">
        <v>508</v>
      </c>
      <c r="D110" s="72" t="s">
        <v>557</v>
      </c>
      <c r="E110" s="73">
        <v>86000</v>
      </c>
      <c r="F110" s="73">
        <v>82000</v>
      </c>
      <c r="G110" s="73">
        <v>57000</v>
      </c>
      <c r="H110" s="73">
        <v>81000</v>
      </c>
      <c r="I110" s="73">
        <v>565000</v>
      </c>
      <c r="J110" s="73">
        <v>1001000</v>
      </c>
      <c r="K110" s="73">
        <v>565000</v>
      </c>
      <c r="L110" s="73">
        <v>765000</v>
      </c>
      <c r="M110" s="73">
        <v>920000</v>
      </c>
      <c r="N110" s="73">
        <v>1129000</v>
      </c>
      <c r="O110" s="73">
        <v>1425000</v>
      </c>
      <c r="P110" s="73">
        <v>1373000</v>
      </c>
      <c r="Q110" s="73">
        <v>2274000</v>
      </c>
      <c r="R110" s="73">
        <v>2768000</v>
      </c>
      <c r="S110" s="73">
        <v>3474000</v>
      </c>
      <c r="T110" s="73">
        <v>2672000</v>
      </c>
      <c r="U110" s="73">
        <v>3269000</v>
      </c>
      <c r="V110" s="73">
        <v>2732934</v>
      </c>
      <c r="W110" s="73">
        <v>3478701</v>
      </c>
      <c r="X110" s="73">
        <v>3974992</v>
      </c>
      <c r="Y110" s="73">
        <v>4766833</v>
      </c>
      <c r="Z110" s="73">
        <v>5404966</v>
      </c>
      <c r="AA110" s="73">
        <v>6412794</v>
      </c>
      <c r="AB110" s="73">
        <v>6834217</v>
      </c>
      <c r="AC110" s="73">
        <v>7062317</v>
      </c>
      <c r="AD110" s="73">
        <v>7552088</v>
      </c>
      <c r="AE110" s="73">
        <v>6297681</v>
      </c>
      <c r="AF110" s="73">
        <v>4713974</v>
      </c>
      <c r="AG110" s="73">
        <v>6705043</v>
      </c>
      <c r="AH110" s="73">
        <v>8179100</v>
      </c>
      <c r="AI110" s="73">
        <v>7925811</v>
      </c>
      <c r="AJ110" s="73">
        <v>9886761</v>
      </c>
      <c r="AK110" s="73">
        <v>9028437</v>
      </c>
      <c r="AL110" s="73">
        <v>10014028</v>
      </c>
      <c r="AM110" s="73">
        <v>10869213</v>
      </c>
      <c r="AN110" s="73">
        <v>9782801</v>
      </c>
      <c r="AO110" s="73">
        <v>10481436</v>
      </c>
      <c r="AP110" s="73">
        <v>8696859</v>
      </c>
      <c r="AQ110" s="73">
        <v>6120155</v>
      </c>
      <c r="AR110" s="73">
        <v>6772100</v>
      </c>
      <c r="AS110" s="73">
        <v>7324777</v>
      </c>
      <c r="AT110" s="73">
        <v>9059125</v>
      </c>
      <c r="AU110" s="73">
        <v>7860473</v>
      </c>
      <c r="AV110">
        <v>6997849</v>
      </c>
      <c r="AW110">
        <v>6835081</v>
      </c>
      <c r="AX110">
        <v>7638098</v>
      </c>
    </row>
    <row r="111" spans="1:50" ht="14.5" x14ac:dyDescent="0.35">
      <c r="A111" s="72" t="s">
        <v>217</v>
      </c>
      <c r="B111" s="72" t="str">
        <f>VLOOKUP(Tabelle_Abfrage_von_MS_Access_Database3[[#This Row],[LAND]],Texte!$A$4:$C$261,Texte!$A$1+1,FALSE)</f>
        <v>Komoren</v>
      </c>
      <c r="C111" s="72" t="s">
        <v>508</v>
      </c>
      <c r="D111" s="72" t="s">
        <v>557</v>
      </c>
      <c r="E111" s="73">
        <v>16000</v>
      </c>
      <c r="F111" s="73">
        <v>32000</v>
      </c>
      <c r="G111" s="73">
        <v>28000</v>
      </c>
      <c r="H111" s="73">
        <v>81000</v>
      </c>
      <c r="I111" s="73">
        <v>209000</v>
      </c>
      <c r="J111" s="73">
        <v>302000</v>
      </c>
      <c r="K111" s="73">
        <v>207000</v>
      </c>
      <c r="L111" s="73">
        <v>164000</v>
      </c>
      <c r="M111" s="73">
        <v>106000</v>
      </c>
      <c r="N111" s="73">
        <v>105000</v>
      </c>
      <c r="O111" s="73">
        <v>50000</v>
      </c>
      <c r="P111" s="73">
        <v>48000</v>
      </c>
      <c r="Q111" s="73">
        <v>108000</v>
      </c>
      <c r="R111" s="73">
        <v>100000</v>
      </c>
      <c r="S111" s="73">
        <v>40000</v>
      </c>
      <c r="T111" s="73">
        <v>43000</v>
      </c>
      <c r="U111" s="73">
        <v>81000</v>
      </c>
      <c r="V111" s="73">
        <v>25145</v>
      </c>
      <c r="W111" s="73">
        <v>29578</v>
      </c>
      <c r="X111" s="73">
        <v>36919</v>
      </c>
      <c r="Y111" s="73">
        <v>35682</v>
      </c>
      <c r="Z111" s="73">
        <v>48037</v>
      </c>
      <c r="AA111" s="73">
        <v>48546</v>
      </c>
      <c r="AB111" s="73">
        <v>10731</v>
      </c>
      <c r="AC111" s="73">
        <v>28538</v>
      </c>
      <c r="AD111" s="73">
        <v>229091</v>
      </c>
      <c r="AE111" s="73">
        <v>122066</v>
      </c>
      <c r="AF111" s="73">
        <v>158836</v>
      </c>
      <c r="AG111" s="73">
        <v>120632</v>
      </c>
      <c r="AH111" s="73">
        <v>50392</v>
      </c>
      <c r="AI111" s="73">
        <v>1175</v>
      </c>
      <c r="AJ111" s="73">
        <v>17460</v>
      </c>
      <c r="AK111" s="73">
        <v>74411</v>
      </c>
      <c r="AL111" s="73">
        <v>213236</v>
      </c>
      <c r="AM111" s="73">
        <v>186346</v>
      </c>
      <c r="AN111" s="73">
        <v>149711</v>
      </c>
      <c r="AO111" s="73">
        <v>200121</v>
      </c>
      <c r="AP111" s="73">
        <v>19026</v>
      </c>
      <c r="AQ111" s="73">
        <v>13540</v>
      </c>
      <c r="AR111" s="73">
        <v>64848</v>
      </c>
      <c r="AS111" s="73">
        <v>48424</v>
      </c>
      <c r="AT111" s="73">
        <v>55777</v>
      </c>
      <c r="AU111" s="73">
        <v>32291</v>
      </c>
      <c r="AV111">
        <v>26171</v>
      </c>
      <c r="AW111">
        <v>22042</v>
      </c>
      <c r="AX111">
        <v>104333</v>
      </c>
    </row>
    <row r="112" spans="1:50" ht="14.5" x14ac:dyDescent="0.35">
      <c r="A112" s="72" t="s">
        <v>219</v>
      </c>
      <c r="B112" s="72" t="str">
        <f>VLOOKUP(Tabelle_Abfrage_von_MS_Access_Database3[[#This Row],[LAND]],Texte!$A$4:$C$261,Texte!$A$1+1,FALSE)</f>
        <v>Mayotte</v>
      </c>
      <c r="C112" s="72" t="s">
        <v>517</v>
      </c>
      <c r="D112" s="72" t="s">
        <v>557</v>
      </c>
      <c r="E112" s="73">
        <v>0</v>
      </c>
      <c r="F112" s="73">
        <v>0</v>
      </c>
      <c r="G112" s="73">
        <v>0</v>
      </c>
      <c r="H112" s="73">
        <v>0</v>
      </c>
      <c r="I112" s="73">
        <v>0</v>
      </c>
      <c r="J112" s="73">
        <v>0</v>
      </c>
      <c r="K112" s="73">
        <v>0</v>
      </c>
      <c r="L112" s="73">
        <v>0</v>
      </c>
      <c r="M112" s="73">
        <v>0</v>
      </c>
      <c r="N112" s="73">
        <v>2000</v>
      </c>
      <c r="O112" s="73">
        <v>72000</v>
      </c>
      <c r="P112" s="73">
        <v>52000</v>
      </c>
      <c r="Q112" s="73">
        <v>117000</v>
      </c>
      <c r="R112" s="73">
        <v>45000</v>
      </c>
      <c r="S112" s="73">
        <v>21000</v>
      </c>
      <c r="T112" s="73">
        <v>2000</v>
      </c>
      <c r="U112" s="73">
        <v>64000</v>
      </c>
      <c r="V112" s="73">
        <v>436</v>
      </c>
      <c r="W112" s="73">
        <v>6249</v>
      </c>
      <c r="X112" s="73">
        <v>21947</v>
      </c>
      <c r="Y112" s="73">
        <v>182338</v>
      </c>
      <c r="Z112" s="74"/>
      <c r="AA112" s="74"/>
      <c r="AB112" s="73">
        <v>0</v>
      </c>
      <c r="AC112" s="73">
        <v>0</v>
      </c>
      <c r="AD112" s="74"/>
      <c r="AE112" s="73">
        <v>0</v>
      </c>
      <c r="AF112" s="74"/>
      <c r="AG112" s="73">
        <v>0</v>
      </c>
      <c r="AH112" s="73">
        <v>0</v>
      </c>
      <c r="AI112" s="73">
        <v>0</v>
      </c>
      <c r="AJ112" s="73">
        <v>0</v>
      </c>
      <c r="AK112" s="73">
        <v>0</v>
      </c>
      <c r="AL112" s="73">
        <v>0</v>
      </c>
      <c r="AM112" s="73">
        <v>0</v>
      </c>
      <c r="AN112" s="73">
        <v>0</v>
      </c>
      <c r="AO112" s="74"/>
      <c r="AP112" s="74"/>
      <c r="AQ112" s="74"/>
      <c r="AR112" s="74"/>
      <c r="AS112" s="74"/>
      <c r="AT112" s="74"/>
      <c r="AU112" s="74"/>
    </row>
    <row r="113" spans="1:50" ht="14.5" x14ac:dyDescent="0.35">
      <c r="A113" s="72" t="s">
        <v>221</v>
      </c>
      <c r="B113" s="72" t="str">
        <f>VLOOKUP(Tabelle_Abfrage_von_MS_Access_Database3[[#This Row],[LAND]],Texte!$A$4:$C$261,Texte!$A$1+1,FALSE)</f>
        <v>Sambia</v>
      </c>
      <c r="C113" s="72" t="s">
        <v>508</v>
      </c>
      <c r="D113" s="72" t="s">
        <v>557</v>
      </c>
      <c r="E113" s="73">
        <v>656000</v>
      </c>
      <c r="F113" s="73">
        <v>786000</v>
      </c>
      <c r="G113" s="73">
        <v>5591000</v>
      </c>
      <c r="H113" s="73">
        <v>1750000</v>
      </c>
      <c r="I113" s="73">
        <v>4640000</v>
      </c>
      <c r="J113" s="73">
        <v>853000</v>
      </c>
      <c r="K113" s="73">
        <v>149000</v>
      </c>
      <c r="L113" s="73">
        <v>641000</v>
      </c>
      <c r="M113" s="73">
        <v>15000</v>
      </c>
      <c r="N113" s="73">
        <v>308000</v>
      </c>
      <c r="O113" s="73">
        <v>31000</v>
      </c>
      <c r="P113" s="73">
        <v>330000</v>
      </c>
      <c r="Q113" s="73">
        <v>164000</v>
      </c>
      <c r="R113" s="73">
        <v>206000</v>
      </c>
      <c r="S113" s="73">
        <v>391000</v>
      </c>
      <c r="T113" s="73">
        <v>279000</v>
      </c>
      <c r="U113" s="73">
        <v>1039000</v>
      </c>
      <c r="V113" s="73">
        <v>2024447</v>
      </c>
      <c r="W113" s="73">
        <v>1165528</v>
      </c>
      <c r="X113" s="73">
        <v>3217880</v>
      </c>
      <c r="Y113" s="73">
        <v>1807664</v>
      </c>
      <c r="Z113" s="73">
        <v>1575546</v>
      </c>
      <c r="AA113" s="73">
        <v>2823632</v>
      </c>
      <c r="AB113" s="73">
        <v>2174892</v>
      </c>
      <c r="AC113" s="73">
        <v>1043876</v>
      </c>
      <c r="AD113" s="73">
        <v>875519</v>
      </c>
      <c r="AE113" s="73">
        <v>1914881</v>
      </c>
      <c r="AF113" s="73">
        <v>662240</v>
      </c>
      <c r="AG113" s="73">
        <v>3226214</v>
      </c>
      <c r="AH113" s="73">
        <v>1174109</v>
      </c>
      <c r="AI113" s="73">
        <v>1442057</v>
      </c>
      <c r="AJ113" s="73">
        <v>927455</v>
      </c>
      <c r="AK113" s="73">
        <v>1806890</v>
      </c>
      <c r="AL113" s="73">
        <v>1180271</v>
      </c>
      <c r="AM113" s="73">
        <v>127027</v>
      </c>
      <c r="AN113" s="73">
        <v>127975</v>
      </c>
      <c r="AO113" s="73">
        <v>221690</v>
      </c>
      <c r="AP113" s="73">
        <v>128221</v>
      </c>
      <c r="AQ113" s="73">
        <v>138855</v>
      </c>
      <c r="AR113" s="73">
        <v>224612</v>
      </c>
      <c r="AS113" s="73">
        <v>285150</v>
      </c>
      <c r="AT113" s="73">
        <v>250707</v>
      </c>
      <c r="AU113" s="73">
        <v>539849</v>
      </c>
      <c r="AV113">
        <v>724743</v>
      </c>
      <c r="AW113">
        <v>594880</v>
      </c>
      <c r="AX113">
        <v>230532</v>
      </c>
    </row>
    <row r="114" spans="1:50" ht="14.5" x14ac:dyDescent="0.35">
      <c r="A114" s="72" t="s">
        <v>223</v>
      </c>
      <c r="B114" s="72" t="str">
        <f>VLOOKUP(Tabelle_Abfrage_von_MS_Access_Database3[[#This Row],[LAND]],Texte!$A$4:$C$261,Texte!$A$1+1,FALSE)</f>
        <v>Simbabwe</v>
      </c>
      <c r="C114" s="72" t="s">
        <v>508</v>
      </c>
      <c r="D114" s="72" t="s">
        <v>557</v>
      </c>
      <c r="E114" s="73">
        <v>1000</v>
      </c>
      <c r="F114" s="73">
        <v>0</v>
      </c>
      <c r="G114" s="73">
        <v>5067000</v>
      </c>
      <c r="H114" s="73">
        <v>25729000</v>
      </c>
      <c r="I114" s="73">
        <v>22486000</v>
      </c>
      <c r="J114" s="73">
        <v>15648000</v>
      </c>
      <c r="K114" s="73">
        <v>16627000</v>
      </c>
      <c r="L114" s="73">
        <v>22098000</v>
      </c>
      <c r="M114" s="73">
        <v>13982000</v>
      </c>
      <c r="N114" s="73">
        <v>11442000</v>
      </c>
      <c r="O114" s="73">
        <v>10251000</v>
      </c>
      <c r="P114" s="73">
        <v>11610000</v>
      </c>
      <c r="Q114" s="73">
        <v>8087000</v>
      </c>
      <c r="R114" s="73">
        <v>6494000</v>
      </c>
      <c r="S114" s="73">
        <v>8542000</v>
      </c>
      <c r="T114" s="73">
        <v>4751000</v>
      </c>
      <c r="U114" s="73">
        <v>7528000</v>
      </c>
      <c r="V114" s="73">
        <v>9496522</v>
      </c>
      <c r="W114" s="73">
        <v>7387266</v>
      </c>
      <c r="X114" s="73">
        <v>9827328</v>
      </c>
      <c r="Y114" s="73">
        <v>10081898</v>
      </c>
      <c r="Z114" s="73">
        <v>13296002</v>
      </c>
      <c r="AA114" s="73">
        <v>6019487</v>
      </c>
      <c r="AB114" s="73">
        <v>11233342</v>
      </c>
      <c r="AC114" s="73">
        <v>13164454</v>
      </c>
      <c r="AD114" s="73">
        <v>14235653</v>
      </c>
      <c r="AE114" s="73">
        <v>5836994</v>
      </c>
      <c r="AF114" s="73">
        <v>1964970</v>
      </c>
      <c r="AG114" s="73">
        <v>2363344</v>
      </c>
      <c r="AH114" s="73">
        <v>7631889</v>
      </c>
      <c r="AI114" s="73">
        <v>6383199</v>
      </c>
      <c r="AJ114" s="73">
        <v>779008</v>
      </c>
      <c r="AK114" s="73">
        <v>1066711</v>
      </c>
      <c r="AL114" s="73">
        <v>2043951</v>
      </c>
      <c r="AM114" s="73">
        <v>1891191</v>
      </c>
      <c r="AN114" s="73">
        <v>2634311</v>
      </c>
      <c r="AO114" s="73">
        <v>1853893</v>
      </c>
      <c r="AP114" s="73">
        <v>1505185</v>
      </c>
      <c r="AQ114" s="73">
        <v>882642</v>
      </c>
      <c r="AR114" s="73">
        <v>854186</v>
      </c>
      <c r="AS114" s="73">
        <v>1137994</v>
      </c>
      <c r="AT114" s="73">
        <v>1665964</v>
      </c>
      <c r="AU114" s="73">
        <v>1758815</v>
      </c>
      <c r="AV114">
        <v>2154568</v>
      </c>
      <c r="AW114">
        <v>2801969</v>
      </c>
      <c r="AX114">
        <v>2203526</v>
      </c>
    </row>
    <row r="115" spans="1:50" ht="14.5" x14ac:dyDescent="0.35">
      <c r="A115" s="72" t="s">
        <v>225</v>
      </c>
      <c r="B115" s="72" t="str">
        <f>VLOOKUP(Tabelle_Abfrage_von_MS_Access_Database3[[#This Row],[LAND]],Texte!$A$4:$C$261,Texte!$A$1+1,FALSE)</f>
        <v>Malawi</v>
      </c>
      <c r="C115" s="72" t="s">
        <v>508</v>
      </c>
      <c r="D115" s="72" t="s">
        <v>557</v>
      </c>
      <c r="E115" s="73">
        <v>348000</v>
      </c>
      <c r="F115" s="73">
        <v>201000</v>
      </c>
      <c r="G115" s="73">
        <v>510000</v>
      </c>
      <c r="H115" s="73">
        <v>380000</v>
      </c>
      <c r="I115" s="73">
        <v>341000</v>
      </c>
      <c r="J115" s="73">
        <v>412000</v>
      </c>
      <c r="K115" s="73">
        <v>1713000</v>
      </c>
      <c r="L115" s="73">
        <v>3637000</v>
      </c>
      <c r="M115" s="73">
        <v>918000</v>
      </c>
      <c r="N115" s="73">
        <v>3394000</v>
      </c>
      <c r="O115" s="73">
        <v>1809000</v>
      </c>
      <c r="P115" s="73">
        <v>1698000</v>
      </c>
      <c r="Q115" s="73">
        <v>884000</v>
      </c>
      <c r="R115" s="73">
        <v>1046000</v>
      </c>
      <c r="S115" s="73">
        <v>3306000</v>
      </c>
      <c r="T115" s="73">
        <v>1088000</v>
      </c>
      <c r="U115" s="73">
        <v>1655000</v>
      </c>
      <c r="V115" s="73">
        <v>2541951</v>
      </c>
      <c r="W115" s="73">
        <v>2714332</v>
      </c>
      <c r="X115" s="73">
        <v>2909167</v>
      </c>
      <c r="Y115" s="73">
        <v>3058291</v>
      </c>
      <c r="Z115" s="73">
        <v>2151335</v>
      </c>
      <c r="AA115" s="73">
        <v>1081082</v>
      </c>
      <c r="AB115" s="73">
        <v>4266743</v>
      </c>
      <c r="AC115" s="73">
        <v>1786795</v>
      </c>
      <c r="AD115" s="73">
        <v>6843658</v>
      </c>
      <c r="AE115" s="73">
        <v>2872244</v>
      </c>
      <c r="AF115" s="73">
        <v>2983403</v>
      </c>
      <c r="AG115" s="73">
        <v>2228949</v>
      </c>
      <c r="AH115" s="73">
        <v>2772016</v>
      </c>
      <c r="AI115" s="73">
        <v>1615661</v>
      </c>
      <c r="AJ115" s="73">
        <v>1194501</v>
      </c>
      <c r="AK115" s="73">
        <v>1977832</v>
      </c>
      <c r="AL115" s="73">
        <v>1063063</v>
      </c>
      <c r="AM115" s="73">
        <v>155056</v>
      </c>
      <c r="AN115" s="73">
        <v>109335</v>
      </c>
      <c r="AO115" s="73">
        <v>124392</v>
      </c>
      <c r="AP115" s="73">
        <v>95541</v>
      </c>
      <c r="AQ115" s="73">
        <v>232306</v>
      </c>
      <c r="AR115" s="73">
        <v>561814</v>
      </c>
      <c r="AS115" s="73">
        <v>226754</v>
      </c>
      <c r="AT115" s="73">
        <v>208843</v>
      </c>
      <c r="AU115" s="73">
        <v>436859</v>
      </c>
      <c r="AV115">
        <v>237664</v>
      </c>
      <c r="AW115">
        <v>410592</v>
      </c>
      <c r="AX115">
        <v>326893</v>
      </c>
    </row>
    <row r="116" spans="1:50" ht="14.5" x14ac:dyDescent="0.35">
      <c r="A116" s="72" t="s">
        <v>227</v>
      </c>
      <c r="B116" s="72" t="str">
        <f>VLOOKUP(Tabelle_Abfrage_von_MS_Access_Database3[[#This Row],[LAND]],Texte!$A$4:$C$261,Texte!$A$1+1,FALSE)</f>
        <v>Südafrika</v>
      </c>
      <c r="C116" s="72" t="s">
        <v>508</v>
      </c>
      <c r="D116" s="72" t="s">
        <v>557</v>
      </c>
      <c r="E116" s="73">
        <v>101546000</v>
      </c>
      <c r="F116" s="73">
        <v>81758000</v>
      </c>
      <c r="G116" s="73">
        <v>94594000</v>
      </c>
      <c r="H116" s="73">
        <v>84136000</v>
      </c>
      <c r="I116" s="73">
        <v>97316000</v>
      </c>
      <c r="J116" s="73">
        <v>78341000</v>
      </c>
      <c r="K116" s="73">
        <v>94600000</v>
      </c>
      <c r="L116" s="73">
        <v>128055000</v>
      </c>
      <c r="M116" s="73">
        <v>94572000</v>
      </c>
      <c r="N116" s="73">
        <v>86289000</v>
      </c>
      <c r="O116" s="73">
        <v>106227000</v>
      </c>
      <c r="P116" s="73">
        <v>163601000</v>
      </c>
      <c r="Q116" s="73">
        <v>120426000</v>
      </c>
      <c r="R116" s="73">
        <v>126186000</v>
      </c>
      <c r="S116" s="73">
        <v>131879000</v>
      </c>
      <c r="T116" s="73">
        <v>126150000</v>
      </c>
      <c r="U116" s="73">
        <v>132068000</v>
      </c>
      <c r="V116" s="73">
        <v>150863206</v>
      </c>
      <c r="W116" s="73">
        <v>128811727</v>
      </c>
      <c r="X116" s="73">
        <v>152049816</v>
      </c>
      <c r="Y116" s="73">
        <v>166008654</v>
      </c>
      <c r="Z116" s="73">
        <v>158898945</v>
      </c>
      <c r="AA116" s="73">
        <v>232206777</v>
      </c>
      <c r="AB116" s="73">
        <v>240774602</v>
      </c>
      <c r="AC116" s="73">
        <v>246880549</v>
      </c>
      <c r="AD116" s="73">
        <v>236414904</v>
      </c>
      <c r="AE116" s="73">
        <v>307923217</v>
      </c>
      <c r="AF116" s="73">
        <v>312365806</v>
      </c>
      <c r="AG116" s="73">
        <v>348241472</v>
      </c>
      <c r="AH116" s="73">
        <v>338074778</v>
      </c>
      <c r="AI116" s="73">
        <v>403857740</v>
      </c>
      <c r="AJ116" s="73">
        <v>299151847</v>
      </c>
      <c r="AK116" s="73">
        <v>526471058</v>
      </c>
      <c r="AL116" s="73">
        <v>571479833</v>
      </c>
      <c r="AM116" s="73">
        <v>370272381</v>
      </c>
      <c r="AN116" s="73">
        <v>522107093</v>
      </c>
      <c r="AO116" s="73">
        <v>427405460</v>
      </c>
      <c r="AP116" s="73">
        <v>346141549</v>
      </c>
      <c r="AQ116" s="73">
        <v>311648640</v>
      </c>
      <c r="AR116" s="73">
        <v>368788581</v>
      </c>
      <c r="AS116" s="73">
        <v>348099878</v>
      </c>
      <c r="AT116" s="73">
        <v>571858636</v>
      </c>
      <c r="AU116" s="73">
        <v>537624773</v>
      </c>
      <c r="AV116">
        <v>840592625</v>
      </c>
      <c r="AW116">
        <v>753500647</v>
      </c>
      <c r="AX116">
        <v>700477154</v>
      </c>
    </row>
    <row r="117" spans="1:50" ht="14.5" x14ac:dyDescent="0.35">
      <c r="A117" s="72" t="s">
        <v>229</v>
      </c>
      <c r="B117" s="72" t="str">
        <f>VLOOKUP(Tabelle_Abfrage_von_MS_Access_Database3[[#This Row],[LAND]],Texte!$A$4:$C$261,Texte!$A$1+1,FALSE)</f>
        <v>Namibia</v>
      </c>
      <c r="C117" s="72" t="s">
        <v>508</v>
      </c>
      <c r="D117" s="72" t="s">
        <v>557</v>
      </c>
      <c r="E117" s="73">
        <v>2319000</v>
      </c>
      <c r="F117" s="73">
        <v>7162000</v>
      </c>
      <c r="G117" s="73">
        <v>7741000</v>
      </c>
      <c r="H117" s="73">
        <v>11158000</v>
      </c>
      <c r="I117" s="73">
        <v>7861000</v>
      </c>
      <c r="J117" s="73">
        <v>12086000</v>
      </c>
      <c r="K117" s="73">
        <v>14533000</v>
      </c>
      <c r="L117" s="73">
        <v>21548000</v>
      </c>
      <c r="M117" s="73">
        <v>9992000</v>
      </c>
      <c r="N117" s="73">
        <v>11430000</v>
      </c>
      <c r="O117" s="73">
        <v>8903000</v>
      </c>
      <c r="P117" s="73">
        <v>8302000</v>
      </c>
      <c r="Q117" s="73">
        <v>3323000</v>
      </c>
      <c r="R117" s="73">
        <v>12666000</v>
      </c>
      <c r="S117" s="73">
        <v>8645000</v>
      </c>
      <c r="T117" s="73">
        <v>6940000</v>
      </c>
      <c r="U117" s="73">
        <v>5424000</v>
      </c>
      <c r="V117" s="73">
        <v>999325</v>
      </c>
      <c r="W117" s="73">
        <v>7050647</v>
      </c>
      <c r="X117" s="73">
        <v>416997</v>
      </c>
      <c r="Y117" s="73">
        <v>2415720</v>
      </c>
      <c r="Z117" s="73">
        <v>382111</v>
      </c>
      <c r="AA117" s="73">
        <v>2103881</v>
      </c>
      <c r="AB117" s="73">
        <v>5769514</v>
      </c>
      <c r="AC117" s="73">
        <v>906682</v>
      </c>
      <c r="AD117" s="73">
        <v>1974462</v>
      </c>
      <c r="AE117" s="73">
        <v>3414433</v>
      </c>
      <c r="AF117" s="73">
        <v>1863291</v>
      </c>
      <c r="AG117" s="73">
        <v>9639383</v>
      </c>
      <c r="AH117" s="73">
        <v>27085839</v>
      </c>
      <c r="AI117" s="73">
        <v>6133487</v>
      </c>
      <c r="AJ117" s="73">
        <v>1328075</v>
      </c>
      <c r="AK117" s="73">
        <v>1671727</v>
      </c>
      <c r="AL117" s="73">
        <v>1832978</v>
      </c>
      <c r="AM117" s="73">
        <v>2675896</v>
      </c>
      <c r="AN117" s="73">
        <v>3719371</v>
      </c>
      <c r="AO117" s="73">
        <v>15549034</v>
      </c>
      <c r="AP117" s="73">
        <v>5982269</v>
      </c>
      <c r="AQ117" s="73">
        <v>6010084</v>
      </c>
      <c r="AR117" s="73">
        <v>1857091</v>
      </c>
      <c r="AS117" s="73">
        <v>14007532</v>
      </c>
      <c r="AT117" s="73">
        <v>2389373</v>
      </c>
      <c r="AU117" s="73">
        <v>2769959</v>
      </c>
      <c r="AV117">
        <v>3725198</v>
      </c>
      <c r="AW117">
        <v>4450772</v>
      </c>
      <c r="AX117">
        <v>4507678</v>
      </c>
    </row>
    <row r="118" spans="1:50" ht="14.5" x14ac:dyDescent="0.35">
      <c r="A118" s="72" t="s">
        <v>231</v>
      </c>
      <c r="B118" s="72" t="str">
        <f>VLOOKUP(Tabelle_Abfrage_von_MS_Access_Database3[[#This Row],[LAND]],Texte!$A$4:$C$261,Texte!$A$1+1,FALSE)</f>
        <v>Botsuana</v>
      </c>
      <c r="C118" s="72" t="s">
        <v>508</v>
      </c>
      <c r="D118" s="72" t="s">
        <v>557</v>
      </c>
      <c r="E118" s="73">
        <v>49000</v>
      </c>
      <c r="F118" s="73">
        <v>134000</v>
      </c>
      <c r="G118" s="73">
        <v>16000</v>
      </c>
      <c r="H118" s="73">
        <v>5000</v>
      </c>
      <c r="I118" s="73">
        <v>3000</v>
      </c>
      <c r="J118" s="73">
        <v>14000</v>
      </c>
      <c r="K118" s="73">
        <v>6000</v>
      </c>
      <c r="L118" s="73">
        <v>95000</v>
      </c>
      <c r="M118" s="73">
        <v>59000</v>
      </c>
      <c r="N118" s="73">
        <v>164000</v>
      </c>
      <c r="O118" s="73">
        <v>66000</v>
      </c>
      <c r="P118" s="73">
        <v>65000</v>
      </c>
      <c r="Q118" s="73">
        <v>39000</v>
      </c>
      <c r="R118" s="73">
        <v>17000</v>
      </c>
      <c r="S118" s="73">
        <v>13000</v>
      </c>
      <c r="T118" s="73">
        <v>9000</v>
      </c>
      <c r="U118" s="73">
        <v>19000</v>
      </c>
      <c r="V118" s="73">
        <v>41351</v>
      </c>
      <c r="W118" s="73">
        <v>3416</v>
      </c>
      <c r="X118" s="73">
        <v>24055</v>
      </c>
      <c r="Y118" s="73">
        <v>280516</v>
      </c>
      <c r="Z118" s="73">
        <v>68384</v>
      </c>
      <c r="AA118" s="73">
        <v>167003</v>
      </c>
      <c r="AB118" s="73">
        <v>322898</v>
      </c>
      <c r="AC118" s="73">
        <v>118113</v>
      </c>
      <c r="AD118" s="73">
        <v>104154</v>
      </c>
      <c r="AE118" s="73">
        <v>68963</v>
      </c>
      <c r="AF118" s="73">
        <v>194078</v>
      </c>
      <c r="AG118" s="73">
        <v>17283</v>
      </c>
      <c r="AH118" s="73">
        <v>91806</v>
      </c>
      <c r="AI118" s="73">
        <v>609858</v>
      </c>
      <c r="AJ118" s="73">
        <v>457324</v>
      </c>
      <c r="AK118" s="73">
        <v>176538</v>
      </c>
      <c r="AL118" s="73">
        <v>33882</v>
      </c>
      <c r="AM118" s="73">
        <v>43213</v>
      </c>
      <c r="AN118" s="73">
        <v>12537</v>
      </c>
      <c r="AO118" s="73">
        <v>60315</v>
      </c>
      <c r="AP118" s="73">
        <v>453905</v>
      </c>
      <c r="AQ118" s="73">
        <v>164138</v>
      </c>
      <c r="AR118" s="73">
        <v>400556</v>
      </c>
      <c r="AS118" s="73">
        <v>356339</v>
      </c>
      <c r="AT118" s="73">
        <v>206703</v>
      </c>
      <c r="AU118" s="73">
        <v>51218</v>
      </c>
      <c r="AV118">
        <v>39035</v>
      </c>
      <c r="AW118">
        <v>184718</v>
      </c>
      <c r="AX118">
        <v>64579</v>
      </c>
    </row>
    <row r="119" spans="1:50" ht="14.5" x14ac:dyDescent="0.35">
      <c r="A119" s="72" t="s">
        <v>233</v>
      </c>
      <c r="B119" s="72" t="str">
        <f>VLOOKUP(Tabelle_Abfrage_von_MS_Access_Database3[[#This Row],[LAND]],Texte!$A$4:$C$261,Texte!$A$1+1,FALSE)</f>
        <v>Swasiland</v>
      </c>
      <c r="C119" s="72" t="s">
        <v>508</v>
      </c>
      <c r="D119" s="72" t="s">
        <v>557</v>
      </c>
      <c r="E119" s="73">
        <v>31000</v>
      </c>
      <c r="F119" s="73">
        <v>4000</v>
      </c>
      <c r="G119" s="73">
        <v>1000</v>
      </c>
      <c r="H119" s="73">
        <v>39000</v>
      </c>
      <c r="I119" s="73">
        <v>37000</v>
      </c>
      <c r="J119" s="73">
        <v>76000</v>
      </c>
      <c r="K119" s="73">
        <v>529000</v>
      </c>
      <c r="L119" s="73">
        <v>119000</v>
      </c>
      <c r="M119" s="73">
        <v>158000</v>
      </c>
      <c r="N119" s="73">
        <v>182000</v>
      </c>
      <c r="O119" s="73">
        <v>279000</v>
      </c>
      <c r="P119" s="73">
        <v>294000</v>
      </c>
      <c r="Q119" s="73">
        <v>374000</v>
      </c>
      <c r="R119" s="73">
        <v>553000</v>
      </c>
      <c r="S119" s="73">
        <v>727000</v>
      </c>
      <c r="T119" s="73">
        <v>265000</v>
      </c>
      <c r="U119" s="73">
        <v>227000</v>
      </c>
      <c r="V119" s="73">
        <v>265109</v>
      </c>
      <c r="W119" s="73">
        <v>227902</v>
      </c>
      <c r="X119" s="73">
        <v>188222</v>
      </c>
      <c r="Y119" s="73">
        <v>219836</v>
      </c>
      <c r="Z119" s="73">
        <v>72746</v>
      </c>
      <c r="AA119" s="73">
        <v>133863</v>
      </c>
      <c r="AB119" s="73">
        <v>7118</v>
      </c>
      <c r="AC119" s="73">
        <v>30090</v>
      </c>
      <c r="AD119" s="73">
        <v>111035</v>
      </c>
      <c r="AE119" s="73">
        <v>20798</v>
      </c>
      <c r="AF119" s="73">
        <v>2446</v>
      </c>
      <c r="AG119" s="73">
        <v>28291</v>
      </c>
      <c r="AH119" s="73">
        <v>29766</v>
      </c>
      <c r="AI119" s="73">
        <v>86412</v>
      </c>
      <c r="AJ119" s="73">
        <v>6737</v>
      </c>
      <c r="AK119" s="73">
        <v>42216</v>
      </c>
      <c r="AL119" s="73">
        <v>15273</v>
      </c>
      <c r="AM119" s="73">
        <v>109128</v>
      </c>
      <c r="AN119" s="73">
        <v>129792</v>
      </c>
      <c r="AO119" s="73">
        <v>321941</v>
      </c>
      <c r="AP119" s="73">
        <v>409748</v>
      </c>
      <c r="AQ119" s="73">
        <v>407845</v>
      </c>
      <c r="AR119" s="73">
        <v>69808</v>
      </c>
      <c r="AS119" s="73">
        <v>80858</v>
      </c>
      <c r="AT119" s="73">
        <v>102912</v>
      </c>
      <c r="AU119" s="73">
        <v>249673</v>
      </c>
      <c r="AV119">
        <v>281716</v>
      </c>
      <c r="AW119">
        <v>440735</v>
      </c>
      <c r="AX119">
        <v>690919</v>
      </c>
    </row>
    <row r="120" spans="1:50" ht="14.5" x14ac:dyDescent="0.35">
      <c r="A120" s="72" t="s">
        <v>235</v>
      </c>
      <c r="B120" s="72" t="str">
        <f>VLOOKUP(Tabelle_Abfrage_von_MS_Access_Database3[[#This Row],[LAND]],Texte!$A$4:$C$261,Texte!$A$1+1,FALSE)</f>
        <v>Lesotho</v>
      </c>
      <c r="C120" s="72" t="s">
        <v>508</v>
      </c>
      <c r="D120" s="72" t="s">
        <v>557</v>
      </c>
      <c r="E120" s="73">
        <v>10000</v>
      </c>
      <c r="F120" s="73">
        <v>1000</v>
      </c>
      <c r="G120" s="73">
        <v>14000</v>
      </c>
      <c r="H120" s="73">
        <v>38000</v>
      </c>
      <c r="I120" s="73">
        <v>117000</v>
      </c>
      <c r="J120" s="73">
        <v>63000</v>
      </c>
      <c r="K120" s="73">
        <v>38000</v>
      </c>
      <c r="L120" s="73">
        <v>11000</v>
      </c>
      <c r="M120" s="73">
        <v>11000</v>
      </c>
      <c r="N120" s="73">
        <v>12000</v>
      </c>
      <c r="O120" s="73">
        <v>48000</v>
      </c>
      <c r="P120" s="73">
        <v>63000</v>
      </c>
      <c r="Q120" s="73">
        <v>67000</v>
      </c>
      <c r="R120" s="73">
        <v>153000</v>
      </c>
      <c r="S120" s="73">
        <v>293000</v>
      </c>
      <c r="T120" s="73">
        <v>229000</v>
      </c>
      <c r="U120" s="73">
        <v>135000</v>
      </c>
      <c r="V120" s="73">
        <v>23327</v>
      </c>
      <c r="W120" s="73">
        <v>27978</v>
      </c>
      <c r="X120" s="73">
        <v>54867</v>
      </c>
      <c r="Y120" s="73">
        <v>131974</v>
      </c>
      <c r="Z120" s="73">
        <v>328554</v>
      </c>
      <c r="AA120" s="73">
        <v>142876</v>
      </c>
      <c r="AB120" s="73">
        <v>115</v>
      </c>
      <c r="AC120" s="73">
        <v>65393</v>
      </c>
      <c r="AD120" s="73">
        <v>6061</v>
      </c>
      <c r="AE120" s="73">
        <v>159</v>
      </c>
      <c r="AF120" s="73">
        <v>87154</v>
      </c>
      <c r="AG120" s="73">
        <v>0</v>
      </c>
      <c r="AH120" s="73">
        <v>422</v>
      </c>
      <c r="AI120" s="73">
        <v>543</v>
      </c>
      <c r="AJ120" s="73">
        <v>127</v>
      </c>
      <c r="AK120" s="73">
        <v>0</v>
      </c>
      <c r="AL120" s="73">
        <v>1538</v>
      </c>
      <c r="AM120" s="73">
        <v>3821</v>
      </c>
      <c r="AN120" s="73">
        <v>18</v>
      </c>
      <c r="AO120" s="73">
        <v>35317</v>
      </c>
      <c r="AP120" s="73">
        <v>33206</v>
      </c>
      <c r="AQ120" s="73">
        <v>304370</v>
      </c>
      <c r="AR120" s="73">
        <v>11502</v>
      </c>
      <c r="AS120" s="73">
        <v>8236</v>
      </c>
      <c r="AT120" s="73">
        <v>13582</v>
      </c>
      <c r="AU120" s="73">
        <v>35468</v>
      </c>
      <c r="AV120">
        <v>4805</v>
      </c>
      <c r="AW120">
        <v>27369</v>
      </c>
      <c r="AX120">
        <v>60777</v>
      </c>
    </row>
    <row r="121" spans="1:50" ht="14.5" x14ac:dyDescent="0.35">
      <c r="A121" s="72" t="s">
        <v>237</v>
      </c>
      <c r="B121" s="72" t="str">
        <f>VLOOKUP(Tabelle_Abfrage_von_MS_Access_Database3[[#This Row],[LAND]],Texte!$A$4:$C$261,Texte!$A$1+1,FALSE)</f>
        <v>Vereinigte Staaten</v>
      </c>
      <c r="C121" s="72" t="s">
        <v>508</v>
      </c>
      <c r="D121" s="72" t="s">
        <v>557</v>
      </c>
      <c r="E121" s="73">
        <v>511775000</v>
      </c>
      <c r="F121" s="73">
        <v>622296000</v>
      </c>
      <c r="G121" s="73">
        <v>776225000</v>
      </c>
      <c r="H121" s="73">
        <v>995058000</v>
      </c>
      <c r="I121" s="73">
        <v>910473000</v>
      </c>
      <c r="J121" s="73">
        <v>852272000</v>
      </c>
      <c r="K121" s="73">
        <v>999388000</v>
      </c>
      <c r="L121" s="73">
        <v>1166814000</v>
      </c>
      <c r="M121" s="73">
        <v>954272000</v>
      </c>
      <c r="N121" s="73">
        <v>1036365000</v>
      </c>
      <c r="O121" s="73">
        <v>1115303000</v>
      </c>
      <c r="P121" s="73">
        <v>1355330000</v>
      </c>
      <c r="Q121" s="73">
        <v>1470780000</v>
      </c>
      <c r="R121" s="73">
        <v>1700810000</v>
      </c>
      <c r="S121" s="73">
        <v>1703893000</v>
      </c>
      <c r="T121" s="73">
        <v>1810790000</v>
      </c>
      <c r="U121" s="73">
        <v>1998931000</v>
      </c>
      <c r="V121" s="73">
        <v>2058868617</v>
      </c>
      <c r="W121" s="73">
        <v>2309566363</v>
      </c>
      <c r="X121" s="73">
        <v>3074670045</v>
      </c>
      <c r="Y121" s="73">
        <v>2953689737</v>
      </c>
      <c r="Z121" s="73">
        <v>3490020692</v>
      </c>
      <c r="AA121" s="73">
        <v>4107738538</v>
      </c>
      <c r="AB121" s="73">
        <v>4209873899</v>
      </c>
      <c r="AC121" s="73">
        <v>3735429920</v>
      </c>
      <c r="AD121" s="73">
        <v>3126696849</v>
      </c>
      <c r="AE121" s="73">
        <v>2958325041</v>
      </c>
      <c r="AF121" s="73">
        <v>3174820062</v>
      </c>
      <c r="AG121" s="73">
        <v>3461996896</v>
      </c>
      <c r="AH121" s="73">
        <v>3742913969</v>
      </c>
      <c r="AI121" s="73">
        <v>3405211842</v>
      </c>
      <c r="AJ121" s="73">
        <v>2562087866</v>
      </c>
      <c r="AK121" s="73">
        <v>3261353337</v>
      </c>
      <c r="AL121" s="73">
        <v>3764079469</v>
      </c>
      <c r="AM121" s="73">
        <v>4114261119</v>
      </c>
      <c r="AN121" s="73">
        <v>4318289955</v>
      </c>
      <c r="AO121" s="73">
        <v>4404228485</v>
      </c>
      <c r="AP121" s="73">
        <v>5255230312</v>
      </c>
      <c r="AQ121" s="73">
        <v>5002043644</v>
      </c>
      <c r="AR121" s="73">
        <v>5813056748</v>
      </c>
      <c r="AS121" s="73">
        <v>5984147019</v>
      </c>
      <c r="AT121" s="73">
        <v>7092936574</v>
      </c>
      <c r="AU121" s="73">
        <v>5259199090</v>
      </c>
      <c r="AV121">
        <v>5700036733</v>
      </c>
      <c r="AW121">
        <v>7256645151</v>
      </c>
      <c r="AX121">
        <v>7917107694</v>
      </c>
    </row>
    <row r="122" spans="1:50" ht="14.5" x14ac:dyDescent="0.35">
      <c r="A122" s="72" t="s">
        <v>239</v>
      </c>
      <c r="B122" s="72" t="str">
        <f>VLOOKUP(Tabelle_Abfrage_von_MS_Access_Database3[[#This Row],[LAND]],Texte!$A$4:$C$261,Texte!$A$1+1,FALSE)</f>
        <v>Kanada</v>
      </c>
      <c r="C122" s="72" t="s">
        <v>508</v>
      </c>
      <c r="D122" s="72" t="s">
        <v>557</v>
      </c>
      <c r="E122" s="73">
        <v>55964000</v>
      </c>
      <c r="F122" s="73">
        <v>78398000</v>
      </c>
      <c r="G122" s="73">
        <v>107411000</v>
      </c>
      <c r="H122" s="73">
        <v>120122000</v>
      </c>
      <c r="I122" s="73">
        <v>109720000</v>
      </c>
      <c r="J122" s="73">
        <v>82006000</v>
      </c>
      <c r="K122" s="73">
        <v>119413000</v>
      </c>
      <c r="L122" s="73">
        <v>127315000</v>
      </c>
      <c r="M122" s="73">
        <v>88484000</v>
      </c>
      <c r="N122" s="73">
        <v>99217000</v>
      </c>
      <c r="O122" s="73">
        <v>135762000</v>
      </c>
      <c r="P122" s="73">
        <v>175647000</v>
      </c>
      <c r="Q122" s="73">
        <v>199033000</v>
      </c>
      <c r="R122" s="73">
        <v>189900000</v>
      </c>
      <c r="S122" s="73">
        <v>219985000</v>
      </c>
      <c r="T122" s="73">
        <v>157129000</v>
      </c>
      <c r="U122" s="73">
        <v>328538000</v>
      </c>
      <c r="V122" s="73">
        <v>215039202</v>
      </c>
      <c r="W122" s="73">
        <v>341510273</v>
      </c>
      <c r="X122" s="73">
        <v>358637309</v>
      </c>
      <c r="Y122" s="73">
        <v>321988921</v>
      </c>
      <c r="Z122" s="73">
        <v>292673184</v>
      </c>
      <c r="AA122" s="73">
        <v>507894880</v>
      </c>
      <c r="AB122" s="73">
        <v>388083021</v>
      </c>
      <c r="AC122" s="73">
        <v>323420405</v>
      </c>
      <c r="AD122" s="73">
        <v>326318542</v>
      </c>
      <c r="AE122" s="73">
        <v>290126695</v>
      </c>
      <c r="AF122" s="73">
        <v>395163492</v>
      </c>
      <c r="AG122" s="73">
        <v>374450599</v>
      </c>
      <c r="AH122" s="73">
        <v>465438212</v>
      </c>
      <c r="AI122" s="73">
        <v>410300977</v>
      </c>
      <c r="AJ122" s="73">
        <v>320693460</v>
      </c>
      <c r="AK122" s="73">
        <v>361800194</v>
      </c>
      <c r="AL122" s="73">
        <v>354777161</v>
      </c>
      <c r="AM122" s="73">
        <v>360465608</v>
      </c>
      <c r="AN122" s="73">
        <v>457448590</v>
      </c>
      <c r="AO122" s="73">
        <v>377705776</v>
      </c>
      <c r="AP122" s="73">
        <v>440398378</v>
      </c>
      <c r="AQ122" s="73">
        <v>323710672</v>
      </c>
      <c r="AR122" s="73">
        <v>394387335</v>
      </c>
      <c r="AS122" s="73">
        <v>339256003</v>
      </c>
      <c r="AT122" s="73">
        <v>402647364</v>
      </c>
      <c r="AU122" s="73">
        <v>297242085</v>
      </c>
      <c r="AV122">
        <v>544828111</v>
      </c>
      <c r="AW122">
        <v>430373734</v>
      </c>
      <c r="AX122">
        <v>715498297</v>
      </c>
    </row>
    <row r="123" spans="1:50" ht="14.5" x14ac:dyDescent="0.35">
      <c r="A123" s="72" t="s">
        <v>241</v>
      </c>
      <c r="B123" s="72" t="str">
        <f>VLOOKUP(Tabelle_Abfrage_von_MS_Access_Database3[[#This Row],[LAND]],Texte!$A$4:$C$261,Texte!$A$1+1,FALSE)</f>
        <v>Grönland</v>
      </c>
      <c r="C123" s="72" t="s">
        <v>525</v>
      </c>
      <c r="D123" s="72" t="s">
        <v>557</v>
      </c>
      <c r="E123" s="73">
        <v>0</v>
      </c>
      <c r="F123" s="73">
        <v>0</v>
      </c>
      <c r="G123" s="73">
        <v>0</v>
      </c>
      <c r="H123" s="73">
        <v>0</v>
      </c>
      <c r="I123" s="73">
        <v>0</v>
      </c>
      <c r="J123" s="73">
        <v>0</v>
      </c>
      <c r="K123" s="73">
        <v>0</v>
      </c>
      <c r="L123" s="73">
        <v>0</v>
      </c>
      <c r="M123" s="73">
        <v>0</v>
      </c>
      <c r="N123" s="73">
        <v>0</v>
      </c>
      <c r="O123" s="73">
        <v>0</v>
      </c>
      <c r="P123" s="73">
        <v>0</v>
      </c>
      <c r="Q123" s="73">
        <v>0</v>
      </c>
      <c r="R123" s="73">
        <v>0</v>
      </c>
      <c r="S123" s="73">
        <v>0</v>
      </c>
      <c r="T123" s="73">
        <v>0</v>
      </c>
      <c r="U123" s="73">
        <v>0</v>
      </c>
      <c r="V123" s="73">
        <v>54866</v>
      </c>
      <c r="W123" s="73">
        <v>70855</v>
      </c>
      <c r="X123" s="73">
        <v>130374</v>
      </c>
      <c r="Y123" s="73">
        <v>99343</v>
      </c>
      <c r="Z123" s="73">
        <v>159733</v>
      </c>
      <c r="AA123" s="73">
        <v>96872</v>
      </c>
      <c r="AB123" s="73">
        <v>53781</v>
      </c>
      <c r="AC123" s="73">
        <v>231833</v>
      </c>
      <c r="AD123" s="73">
        <v>251228</v>
      </c>
      <c r="AE123" s="73">
        <v>295256</v>
      </c>
      <c r="AF123" s="73">
        <v>326755</v>
      </c>
      <c r="AG123" s="73">
        <v>395907</v>
      </c>
      <c r="AH123" s="73">
        <v>460829</v>
      </c>
      <c r="AI123" s="73">
        <v>563090</v>
      </c>
      <c r="AJ123" s="73">
        <v>832807</v>
      </c>
      <c r="AK123" s="73">
        <v>662579</v>
      </c>
      <c r="AL123" s="73">
        <v>262827</v>
      </c>
      <c r="AM123" s="73">
        <v>251526</v>
      </c>
      <c r="AN123" s="73">
        <v>78830</v>
      </c>
      <c r="AO123" s="73">
        <v>125018</v>
      </c>
      <c r="AP123" s="73">
        <v>229780</v>
      </c>
      <c r="AQ123" s="73">
        <v>65533</v>
      </c>
      <c r="AR123" s="73">
        <v>70844</v>
      </c>
      <c r="AS123" s="73">
        <v>66185</v>
      </c>
      <c r="AT123" s="73">
        <v>94586</v>
      </c>
      <c r="AU123" s="73">
        <v>137952</v>
      </c>
      <c r="AV123">
        <v>123762</v>
      </c>
      <c r="AW123">
        <v>358990</v>
      </c>
      <c r="AX123">
        <v>623630</v>
      </c>
    </row>
    <row r="124" spans="1:50" ht="14.5" x14ac:dyDescent="0.35">
      <c r="A124" s="72" t="s">
        <v>243</v>
      </c>
      <c r="B124" s="72" t="str">
        <f>VLOOKUP(Tabelle_Abfrage_von_MS_Access_Database3[[#This Row],[LAND]],Texte!$A$4:$C$261,Texte!$A$1+1,FALSE)</f>
        <v>St.Pierre und Miquelon</v>
      </c>
      <c r="C124" s="72" t="s">
        <v>508</v>
      </c>
      <c r="D124" s="72" t="s">
        <v>557</v>
      </c>
      <c r="E124" s="73">
        <v>0</v>
      </c>
      <c r="F124" s="73">
        <v>0</v>
      </c>
      <c r="G124" s="73">
        <v>0</v>
      </c>
      <c r="H124" s="73">
        <v>0</v>
      </c>
      <c r="I124" s="73">
        <v>0</v>
      </c>
      <c r="J124" s="73">
        <v>0</v>
      </c>
      <c r="K124" s="73">
        <v>1000</v>
      </c>
      <c r="L124" s="73">
        <v>0</v>
      </c>
      <c r="M124" s="73">
        <v>2000</v>
      </c>
      <c r="N124" s="73">
        <v>0</v>
      </c>
      <c r="O124" s="73">
        <v>8000</v>
      </c>
      <c r="P124" s="73">
        <v>2000</v>
      </c>
      <c r="Q124" s="73">
        <v>0</v>
      </c>
      <c r="R124" s="73">
        <v>12000</v>
      </c>
      <c r="S124" s="73">
        <v>1000</v>
      </c>
      <c r="T124" s="73">
        <v>1000</v>
      </c>
      <c r="U124" s="73">
        <v>5000</v>
      </c>
      <c r="V124" s="73">
        <v>2253</v>
      </c>
      <c r="W124" s="73">
        <v>15625</v>
      </c>
      <c r="X124" s="74"/>
      <c r="Y124" s="73">
        <v>6322</v>
      </c>
      <c r="Z124" s="73">
        <v>42731</v>
      </c>
      <c r="AA124" s="73">
        <v>508</v>
      </c>
      <c r="AB124" s="73">
        <v>1344</v>
      </c>
      <c r="AC124" s="73">
        <v>7725</v>
      </c>
      <c r="AD124" s="73">
        <v>6116</v>
      </c>
      <c r="AE124" s="73">
        <v>3588</v>
      </c>
      <c r="AF124" s="74"/>
      <c r="AG124" s="73">
        <v>0</v>
      </c>
      <c r="AH124" s="73">
        <v>0</v>
      </c>
      <c r="AI124" s="73">
        <v>0</v>
      </c>
      <c r="AJ124" s="73">
        <v>0</v>
      </c>
      <c r="AK124" s="73">
        <v>0</v>
      </c>
      <c r="AL124" s="73">
        <v>106</v>
      </c>
      <c r="AM124" s="73">
        <v>0</v>
      </c>
      <c r="AN124" s="74"/>
      <c r="AO124" s="73">
        <v>0</v>
      </c>
      <c r="AP124" s="74"/>
      <c r="AQ124" s="74"/>
      <c r="AR124" s="74"/>
      <c r="AS124" s="74"/>
      <c r="AT124" s="74"/>
      <c r="AU124" s="74"/>
      <c r="AX124">
        <v>0</v>
      </c>
    </row>
    <row r="125" spans="1:50" ht="14.5" x14ac:dyDescent="0.35">
      <c r="A125" s="72" t="s">
        <v>245</v>
      </c>
      <c r="B125" s="72" t="str">
        <f>VLOOKUP(Tabelle_Abfrage_von_MS_Access_Database3[[#This Row],[LAND]],Texte!$A$4:$C$261,Texte!$A$1+1,FALSE)</f>
        <v>Mexiko</v>
      </c>
      <c r="C125" s="72" t="s">
        <v>508</v>
      </c>
      <c r="D125" s="72" t="s">
        <v>557</v>
      </c>
      <c r="E125" s="73">
        <v>11764000</v>
      </c>
      <c r="F125" s="73">
        <v>18814000</v>
      </c>
      <c r="G125" s="73">
        <v>19249000</v>
      </c>
      <c r="H125" s="73">
        <v>20667000</v>
      </c>
      <c r="I125" s="73">
        <v>90793000</v>
      </c>
      <c r="J125" s="73">
        <v>154875000</v>
      </c>
      <c r="K125" s="73">
        <v>76395000</v>
      </c>
      <c r="L125" s="73">
        <v>115557000</v>
      </c>
      <c r="M125" s="73">
        <v>59821000</v>
      </c>
      <c r="N125" s="73">
        <v>64762000</v>
      </c>
      <c r="O125" s="73">
        <v>39536000</v>
      </c>
      <c r="P125" s="73">
        <v>49716000</v>
      </c>
      <c r="Q125" s="73">
        <v>44981000</v>
      </c>
      <c r="R125" s="73">
        <v>65106000</v>
      </c>
      <c r="S125" s="73">
        <v>70604000</v>
      </c>
      <c r="T125" s="73">
        <v>39475000</v>
      </c>
      <c r="U125" s="73">
        <v>46031000</v>
      </c>
      <c r="V125" s="73">
        <v>27889350</v>
      </c>
      <c r="W125" s="73">
        <v>28910273</v>
      </c>
      <c r="X125" s="73">
        <v>49739614</v>
      </c>
      <c r="Y125" s="73">
        <v>68127574</v>
      </c>
      <c r="Z125" s="73">
        <v>95954002</v>
      </c>
      <c r="AA125" s="73">
        <v>97942131</v>
      </c>
      <c r="AB125" s="73">
        <v>153825042</v>
      </c>
      <c r="AC125" s="73">
        <v>142276313</v>
      </c>
      <c r="AD125" s="73">
        <v>103034711</v>
      </c>
      <c r="AE125" s="73">
        <v>103052157</v>
      </c>
      <c r="AF125" s="73">
        <v>158553439</v>
      </c>
      <c r="AG125" s="73">
        <v>171498154</v>
      </c>
      <c r="AH125" s="73">
        <v>185755594</v>
      </c>
      <c r="AI125" s="73">
        <v>205856636</v>
      </c>
      <c r="AJ125" s="73">
        <v>149939088</v>
      </c>
      <c r="AK125" s="73">
        <v>213477733</v>
      </c>
      <c r="AL125" s="73">
        <v>235515653</v>
      </c>
      <c r="AM125" s="73">
        <v>263230585</v>
      </c>
      <c r="AN125" s="73">
        <v>250507842</v>
      </c>
      <c r="AO125" s="73">
        <v>295360319</v>
      </c>
      <c r="AP125" s="73">
        <v>524851050</v>
      </c>
      <c r="AQ125" s="73">
        <v>392138797</v>
      </c>
      <c r="AR125" s="73">
        <v>447188219</v>
      </c>
      <c r="AS125" s="73">
        <v>379640056</v>
      </c>
      <c r="AT125" s="73">
        <v>374340791</v>
      </c>
      <c r="AU125" s="73">
        <v>331302574</v>
      </c>
      <c r="AV125">
        <v>391937670</v>
      </c>
      <c r="AW125">
        <v>646146262</v>
      </c>
      <c r="AX125">
        <v>642962478</v>
      </c>
    </row>
    <row r="126" spans="1:50" ht="14.5" x14ac:dyDescent="0.35">
      <c r="A126" s="72" t="s">
        <v>247</v>
      </c>
      <c r="B126" s="72" t="str">
        <f>VLOOKUP(Tabelle_Abfrage_von_MS_Access_Database3[[#This Row],[LAND]],Texte!$A$4:$C$261,Texte!$A$1+1,FALSE)</f>
        <v>Bermuda</v>
      </c>
      <c r="C126" s="72" t="s">
        <v>508</v>
      </c>
      <c r="D126" s="72" t="s">
        <v>557</v>
      </c>
      <c r="E126" s="73">
        <v>309000</v>
      </c>
      <c r="F126" s="73">
        <v>146000</v>
      </c>
      <c r="G126" s="73">
        <v>328000</v>
      </c>
      <c r="H126" s="73">
        <v>234000</v>
      </c>
      <c r="I126" s="73">
        <v>8000</v>
      </c>
      <c r="J126" s="73">
        <v>49000</v>
      </c>
      <c r="K126" s="73">
        <v>9492000</v>
      </c>
      <c r="L126" s="73">
        <v>53000</v>
      </c>
      <c r="M126" s="73">
        <v>0</v>
      </c>
      <c r="N126" s="73">
        <v>66000</v>
      </c>
      <c r="O126" s="73">
        <v>11000</v>
      </c>
      <c r="P126" s="73">
        <v>118000</v>
      </c>
      <c r="Q126" s="73">
        <v>158000</v>
      </c>
      <c r="R126" s="73">
        <v>42000</v>
      </c>
      <c r="S126" s="73">
        <v>13000</v>
      </c>
      <c r="T126" s="73">
        <v>34000</v>
      </c>
      <c r="U126" s="73">
        <v>73000</v>
      </c>
      <c r="V126" s="73">
        <v>0</v>
      </c>
      <c r="W126" s="73">
        <v>436</v>
      </c>
      <c r="X126" s="73">
        <v>4651</v>
      </c>
      <c r="Y126" s="73">
        <v>4942</v>
      </c>
      <c r="Z126" s="73">
        <v>14535</v>
      </c>
      <c r="AA126" s="73">
        <v>25799</v>
      </c>
      <c r="AB126" s="73">
        <v>13032</v>
      </c>
      <c r="AC126" s="73">
        <v>18</v>
      </c>
      <c r="AD126" s="73">
        <v>6169</v>
      </c>
      <c r="AE126" s="73">
        <v>1736</v>
      </c>
      <c r="AF126" s="73">
        <v>10140</v>
      </c>
      <c r="AG126" s="73">
        <v>19273</v>
      </c>
      <c r="AH126" s="73">
        <v>8335</v>
      </c>
      <c r="AI126" s="73">
        <v>18954664</v>
      </c>
      <c r="AJ126" s="73">
        <v>3278</v>
      </c>
      <c r="AK126" s="73">
        <v>9099</v>
      </c>
      <c r="AL126" s="73">
        <v>2347</v>
      </c>
      <c r="AM126" s="73">
        <v>4513</v>
      </c>
      <c r="AN126" s="73">
        <v>41658</v>
      </c>
      <c r="AO126" s="73">
        <v>24401</v>
      </c>
      <c r="AP126" s="73">
        <v>74551</v>
      </c>
      <c r="AQ126" s="73">
        <v>26191</v>
      </c>
      <c r="AR126" s="73">
        <v>177273</v>
      </c>
      <c r="AS126" s="73">
        <v>243250</v>
      </c>
      <c r="AT126" s="73">
        <v>149199</v>
      </c>
      <c r="AU126" s="73">
        <v>23622</v>
      </c>
      <c r="AV126">
        <v>29348</v>
      </c>
      <c r="AW126">
        <v>17443</v>
      </c>
      <c r="AX126">
        <v>18440</v>
      </c>
    </row>
    <row r="127" spans="1:50" ht="14.5" x14ac:dyDescent="0.35">
      <c r="A127" s="72" t="s">
        <v>249</v>
      </c>
      <c r="B127" s="72" t="str">
        <f>VLOOKUP(Tabelle_Abfrage_von_MS_Access_Database3[[#This Row],[LAND]],Texte!$A$4:$C$261,Texte!$A$1+1,FALSE)</f>
        <v>Guatemala</v>
      </c>
      <c r="C127" s="72" t="s">
        <v>508</v>
      </c>
      <c r="D127" s="72" t="s">
        <v>557</v>
      </c>
      <c r="E127" s="73">
        <v>10967000</v>
      </c>
      <c r="F127" s="73">
        <v>13797000</v>
      </c>
      <c r="G127" s="73">
        <v>11516000</v>
      </c>
      <c r="H127" s="73">
        <v>10617000</v>
      </c>
      <c r="I127" s="73">
        <v>8581000</v>
      </c>
      <c r="J127" s="73">
        <v>8806000</v>
      </c>
      <c r="K127" s="73">
        <v>12837000</v>
      </c>
      <c r="L127" s="73">
        <v>15170000</v>
      </c>
      <c r="M127" s="73">
        <v>14474000</v>
      </c>
      <c r="N127" s="73">
        <v>9389000</v>
      </c>
      <c r="O127" s="73">
        <v>12103000</v>
      </c>
      <c r="P127" s="73">
        <v>11585000</v>
      </c>
      <c r="Q127" s="73">
        <v>9447000</v>
      </c>
      <c r="R127" s="73">
        <v>8178000</v>
      </c>
      <c r="S127" s="73">
        <v>6674000</v>
      </c>
      <c r="T127" s="73">
        <v>5100000</v>
      </c>
      <c r="U127" s="73">
        <v>9695000</v>
      </c>
      <c r="V127" s="73">
        <v>18969932</v>
      </c>
      <c r="W127" s="73">
        <v>16157710</v>
      </c>
      <c r="X127" s="73">
        <v>17722579</v>
      </c>
      <c r="Y127" s="73">
        <v>19131999</v>
      </c>
      <c r="Z127" s="73">
        <v>13165189</v>
      </c>
      <c r="AA127" s="73">
        <v>10764082</v>
      </c>
      <c r="AB127" s="73">
        <v>8179395</v>
      </c>
      <c r="AC127" s="73">
        <v>5123978</v>
      </c>
      <c r="AD127" s="73">
        <v>4146061</v>
      </c>
      <c r="AE127" s="73">
        <v>3505057</v>
      </c>
      <c r="AF127" s="73">
        <v>4924703</v>
      </c>
      <c r="AG127" s="73">
        <v>3876116</v>
      </c>
      <c r="AH127" s="73">
        <v>3724055</v>
      </c>
      <c r="AI127" s="73">
        <v>4029840</v>
      </c>
      <c r="AJ127" s="73">
        <v>3271919</v>
      </c>
      <c r="AK127" s="73">
        <v>4504358</v>
      </c>
      <c r="AL127" s="73">
        <v>4775688</v>
      </c>
      <c r="AM127" s="73">
        <v>5967382</v>
      </c>
      <c r="AN127" s="73">
        <v>4073687</v>
      </c>
      <c r="AO127" s="73">
        <v>7387256</v>
      </c>
      <c r="AP127" s="73">
        <v>6244838</v>
      </c>
      <c r="AQ127" s="73">
        <v>5680521</v>
      </c>
      <c r="AR127" s="73">
        <v>5507474</v>
      </c>
      <c r="AS127" s="73">
        <v>5260101</v>
      </c>
      <c r="AT127" s="73">
        <v>5773844</v>
      </c>
      <c r="AU127" s="73">
        <v>5542891</v>
      </c>
      <c r="AV127">
        <v>8076033</v>
      </c>
      <c r="AW127">
        <v>8457342</v>
      </c>
      <c r="AX127">
        <v>7648409</v>
      </c>
    </row>
    <row r="128" spans="1:50" ht="14.5" x14ac:dyDescent="0.35">
      <c r="A128" s="72" t="s">
        <v>251</v>
      </c>
      <c r="B128" s="72" t="str">
        <f>VLOOKUP(Tabelle_Abfrage_von_MS_Access_Database3[[#This Row],[LAND]],Texte!$A$4:$C$261,Texte!$A$1+1,FALSE)</f>
        <v>Belize</v>
      </c>
      <c r="C128" s="72" t="s">
        <v>508</v>
      </c>
      <c r="D128" s="72" t="s">
        <v>557</v>
      </c>
      <c r="E128" s="73">
        <v>11000</v>
      </c>
      <c r="F128" s="73">
        <v>146000</v>
      </c>
      <c r="G128" s="73">
        <v>305000</v>
      </c>
      <c r="H128" s="73">
        <v>470000</v>
      </c>
      <c r="I128" s="73">
        <v>115000</v>
      </c>
      <c r="J128" s="73">
        <v>127000</v>
      </c>
      <c r="K128" s="73">
        <v>357000</v>
      </c>
      <c r="L128" s="73">
        <v>413000</v>
      </c>
      <c r="M128" s="73">
        <v>387000</v>
      </c>
      <c r="N128" s="73">
        <v>38000</v>
      </c>
      <c r="O128" s="73">
        <v>0</v>
      </c>
      <c r="P128" s="73">
        <v>25000</v>
      </c>
      <c r="Q128" s="73">
        <v>0</v>
      </c>
      <c r="R128" s="73">
        <v>0</v>
      </c>
      <c r="S128" s="73">
        <v>8000</v>
      </c>
      <c r="T128" s="73">
        <v>0</v>
      </c>
      <c r="U128" s="73">
        <v>1000</v>
      </c>
      <c r="V128" s="73">
        <v>83137</v>
      </c>
      <c r="W128" s="73">
        <v>41714</v>
      </c>
      <c r="X128" s="73">
        <v>28268</v>
      </c>
      <c r="Y128" s="73">
        <v>164750</v>
      </c>
      <c r="Z128" s="73">
        <v>209589</v>
      </c>
      <c r="AA128" s="73">
        <v>403044</v>
      </c>
      <c r="AB128" s="73">
        <v>465549</v>
      </c>
      <c r="AC128" s="73">
        <v>436792</v>
      </c>
      <c r="AD128" s="73">
        <v>290043</v>
      </c>
      <c r="AE128" s="73">
        <v>207721</v>
      </c>
      <c r="AF128" s="73">
        <v>343011</v>
      </c>
      <c r="AG128" s="73">
        <v>459996</v>
      </c>
      <c r="AH128" s="73">
        <v>199152</v>
      </c>
      <c r="AI128" s="73">
        <v>182691</v>
      </c>
      <c r="AJ128" s="73">
        <v>253273</v>
      </c>
      <c r="AK128" s="73">
        <v>265647</v>
      </c>
      <c r="AL128" s="73">
        <v>39462</v>
      </c>
      <c r="AM128" s="73">
        <v>150380</v>
      </c>
      <c r="AN128" s="73">
        <v>207497</v>
      </c>
      <c r="AO128" s="73">
        <v>257572</v>
      </c>
      <c r="AP128" s="73">
        <v>136043</v>
      </c>
      <c r="AQ128" s="73">
        <v>547401</v>
      </c>
      <c r="AR128" s="73">
        <v>331566</v>
      </c>
      <c r="AS128" s="73">
        <v>320152</v>
      </c>
      <c r="AT128" s="73">
        <v>101683</v>
      </c>
      <c r="AU128" s="73">
        <v>101152</v>
      </c>
      <c r="AV128">
        <v>122715</v>
      </c>
      <c r="AW128">
        <v>329958</v>
      </c>
      <c r="AX128">
        <v>477160</v>
      </c>
    </row>
    <row r="129" spans="1:50" ht="14.5" x14ac:dyDescent="0.35">
      <c r="A129" s="72" t="s">
        <v>253</v>
      </c>
      <c r="B129" s="72" t="str">
        <f>VLOOKUP(Tabelle_Abfrage_von_MS_Access_Database3[[#This Row],[LAND]],Texte!$A$4:$C$261,Texte!$A$1+1,FALSE)</f>
        <v>Honduras</v>
      </c>
      <c r="C129" s="72" t="s">
        <v>508</v>
      </c>
      <c r="D129" s="72" t="s">
        <v>557</v>
      </c>
      <c r="E129" s="73">
        <v>11500000</v>
      </c>
      <c r="F129" s="73">
        <v>13717000</v>
      </c>
      <c r="G129" s="73">
        <v>15590000</v>
      </c>
      <c r="H129" s="73">
        <v>10804000</v>
      </c>
      <c r="I129" s="73">
        <v>15270000</v>
      </c>
      <c r="J129" s="73">
        <v>12318000</v>
      </c>
      <c r="K129" s="73">
        <v>10035000</v>
      </c>
      <c r="L129" s="73">
        <v>14260000</v>
      </c>
      <c r="M129" s="73">
        <v>14617000</v>
      </c>
      <c r="N129" s="73">
        <v>12216000</v>
      </c>
      <c r="O129" s="73">
        <v>11369000</v>
      </c>
      <c r="P129" s="73">
        <v>9406000</v>
      </c>
      <c r="Q129" s="73">
        <v>13273000</v>
      </c>
      <c r="R129" s="73">
        <v>10503000</v>
      </c>
      <c r="S129" s="73">
        <v>9957000</v>
      </c>
      <c r="T129" s="73">
        <v>10755000</v>
      </c>
      <c r="U129" s="73">
        <v>9154000</v>
      </c>
      <c r="V129" s="73">
        <v>16705742</v>
      </c>
      <c r="W129" s="73">
        <v>12904079</v>
      </c>
      <c r="X129" s="73">
        <v>22084401</v>
      </c>
      <c r="Y129" s="73">
        <v>11078683</v>
      </c>
      <c r="Z129" s="73">
        <v>8676699</v>
      </c>
      <c r="AA129" s="73">
        <v>7193883</v>
      </c>
      <c r="AB129" s="73">
        <v>3641952</v>
      </c>
      <c r="AC129" s="73">
        <v>4656911</v>
      </c>
      <c r="AD129" s="73">
        <v>4761010</v>
      </c>
      <c r="AE129" s="73">
        <v>5151641</v>
      </c>
      <c r="AF129" s="73">
        <v>14231711</v>
      </c>
      <c r="AG129" s="73">
        <v>4504333</v>
      </c>
      <c r="AH129" s="73">
        <v>4374077</v>
      </c>
      <c r="AI129" s="73">
        <v>5760745</v>
      </c>
      <c r="AJ129" s="73">
        <v>4507057</v>
      </c>
      <c r="AK129" s="73">
        <v>8718527</v>
      </c>
      <c r="AL129" s="73">
        <v>32311898</v>
      </c>
      <c r="AM129" s="73">
        <v>47645884</v>
      </c>
      <c r="AN129" s="73">
        <v>32768564</v>
      </c>
      <c r="AO129" s="73">
        <v>4944289</v>
      </c>
      <c r="AP129" s="73">
        <v>6542917</v>
      </c>
      <c r="AQ129" s="73">
        <v>6669486</v>
      </c>
      <c r="AR129" s="73">
        <v>7117638</v>
      </c>
      <c r="AS129" s="73">
        <v>8195956</v>
      </c>
      <c r="AT129" s="73">
        <v>9254610</v>
      </c>
      <c r="AU129" s="73">
        <v>8343926</v>
      </c>
      <c r="AV129">
        <v>8489680</v>
      </c>
      <c r="AW129">
        <v>9956802</v>
      </c>
      <c r="AX129">
        <v>8949647</v>
      </c>
    </row>
    <row r="130" spans="1:50" ht="14.5" x14ac:dyDescent="0.35">
      <c r="A130" s="72" t="s">
        <v>255</v>
      </c>
      <c r="B130" s="72" t="str">
        <f>VLOOKUP(Tabelle_Abfrage_von_MS_Access_Database3[[#This Row],[LAND]],Texte!$A$4:$C$261,Texte!$A$1+1,FALSE)</f>
        <v>El Salvador</v>
      </c>
      <c r="C130" s="72" t="s">
        <v>508</v>
      </c>
      <c r="D130" s="72" t="s">
        <v>557</v>
      </c>
      <c r="E130" s="73">
        <v>9981000</v>
      </c>
      <c r="F130" s="73">
        <v>19116000</v>
      </c>
      <c r="G130" s="73">
        <v>19755000</v>
      </c>
      <c r="H130" s="73">
        <v>18693000</v>
      </c>
      <c r="I130" s="73">
        <v>18687000</v>
      </c>
      <c r="J130" s="73">
        <v>21494000</v>
      </c>
      <c r="K130" s="73">
        <v>17621000</v>
      </c>
      <c r="L130" s="73">
        <v>21810000</v>
      </c>
      <c r="M130" s="73">
        <v>21783000</v>
      </c>
      <c r="N130" s="73">
        <v>10284000</v>
      </c>
      <c r="O130" s="73">
        <v>11187000</v>
      </c>
      <c r="P130" s="73">
        <v>6004000</v>
      </c>
      <c r="Q130" s="73">
        <v>3217000</v>
      </c>
      <c r="R130" s="73">
        <v>8940000</v>
      </c>
      <c r="S130" s="73">
        <v>7905000</v>
      </c>
      <c r="T130" s="73">
        <v>8524000</v>
      </c>
      <c r="U130" s="73">
        <v>12666000</v>
      </c>
      <c r="V130" s="73">
        <v>16159242</v>
      </c>
      <c r="W130" s="73">
        <v>17935583</v>
      </c>
      <c r="X130" s="73">
        <v>16422605</v>
      </c>
      <c r="Y130" s="73">
        <v>15181716</v>
      </c>
      <c r="Z130" s="73">
        <v>6077773</v>
      </c>
      <c r="AA130" s="73">
        <v>5933956</v>
      </c>
      <c r="AB130" s="73">
        <v>5256042</v>
      </c>
      <c r="AC130" s="73">
        <v>3598771</v>
      </c>
      <c r="AD130" s="73">
        <v>2748951</v>
      </c>
      <c r="AE130" s="73">
        <v>2754482</v>
      </c>
      <c r="AF130" s="73">
        <v>2706639</v>
      </c>
      <c r="AG130" s="73">
        <v>2330513</v>
      </c>
      <c r="AH130" s="73">
        <v>3380081</v>
      </c>
      <c r="AI130" s="73">
        <v>3113311</v>
      </c>
      <c r="AJ130" s="73">
        <v>2023736</v>
      </c>
      <c r="AK130" s="73">
        <v>2081560</v>
      </c>
      <c r="AL130" s="73">
        <v>4928036</v>
      </c>
      <c r="AM130" s="73">
        <v>866678</v>
      </c>
      <c r="AN130" s="73">
        <v>1164021</v>
      </c>
      <c r="AO130" s="73">
        <v>1274887</v>
      </c>
      <c r="AP130" s="73">
        <v>2307997</v>
      </c>
      <c r="AQ130" s="73">
        <v>1435065</v>
      </c>
      <c r="AR130" s="73">
        <v>2466100</v>
      </c>
      <c r="AS130" s="73">
        <v>3466985</v>
      </c>
      <c r="AT130" s="73">
        <v>2317511</v>
      </c>
      <c r="AU130" s="73">
        <v>2548908</v>
      </c>
      <c r="AV130">
        <v>3214634</v>
      </c>
      <c r="AW130">
        <v>3151725</v>
      </c>
      <c r="AX130">
        <v>3222354</v>
      </c>
    </row>
    <row r="131" spans="1:50" ht="14.5" x14ac:dyDescent="0.35">
      <c r="A131" s="72" t="s">
        <v>257</v>
      </c>
      <c r="B131" s="72" t="str">
        <f>VLOOKUP(Tabelle_Abfrage_von_MS_Access_Database3[[#This Row],[LAND]],Texte!$A$4:$C$261,Texte!$A$1+1,FALSE)</f>
        <v>Nicaragua</v>
      </c>
      <c r="C131" s="72" t="s">
        <v>508</v>
      </c>
      <c r="D131" s="72" t="s">
        <v>557</v>
      </c>
      <c r="E131" s="73">
        <v>12876000</v>
      </c>
      <c r="F131" s="73">
        <v>12430000</v>
      </c>
      <c r="G131" s="73">
        <v>8825000</v>
      </c>
      <c r="H131" s="73">
        <v>10824000</v>
      </c>
      <c r="I131" s="73">
        <v>7459000</v>
      </c>
      <c r="J131" s="73">
        <v>7560000</v>
      </c>
      <c r="K131" s="73">
        <v>9925000</v>
      </c>
      <c r="L131" s="73">
        <v>5725000</v>
      </c>
      <c r="M131" s="73">
        <v>20672000</v>
      </c>
      <c r="N131" s="73">
        <v>11080000</v>
      </c>
      <c r="O131" s="73">
        <v>11331000</v>
      </c>
      <c r="P131" s="73">
        <v>12418000</v>
      </c>
      <c r="Q131" s="73">
        <v>10301000</v>
      </c>
      <c r="R131" s="73">
        <v>10045000</v>
      </c>
      <c r="S131" s="73">
        <v>4565000</v>
      </c>
      <c r="T131" s="73">
        <v>3209000</v>
      </c>
      <c r="U131" s="73">
        <v>5093000</v>
      </c>
      <c r="V131" s="73">
        <v>4995527</v>
      </c>
      <c r="W131" s="73">
        <v>5002728</v>
      </c>
      <c r="X131" s="73">
        <v>5123944</v>
      </c>
      <c r="Y131" s="73">
        <v>6464538</v>
      </c>
      <c r="Z131" s="73">
        <v>8854606</v>
      </c>
      <c r="AA131" s="73">
        <v>6191287</v>
      </c>
      <c r="AB131" s="73">
        <v>5741753</v>
      </c>
      <c r="AC131" s="73">
        <v>5204010</v>
      </c>
      <c r="AD131" s="73">
        <v>2848223</v>
      </c>
      <c r="AE131" s="73">
        <v>3366465</v>
      </c>
      <c r="AF131" s="73">
        <v>3921985</v>
      </c>
      <c r="AG131" s="73">
        <v>2430367</v>
      </c>
      <c r="AH131" s="73">
        <v>1672709</v>
      </c>
      <c r="AI131" s="73">
        <v>2934549</v>
      </c>
      <c r="AJ131" s="73">
        <v>3048732</v>
      </c>
      <c r="AK131" s="73">
        <v>3001909</v>
      </c>
      <c r="AL131" s="73">
        <v>4223916</v>
      </c>
      <c r="AM131" s="73">
        <v>2574185</v>
      </c>
      <c r="AN131" s="73">
        <v>3035136</v>
      </c>
      <c r="AO131" s="73">
        <v>3040233</v>
      </c>
      <c r="AP131" s="73">
        <v>2079145</v>
      </c>
      <c r="AQ131" s="73">
        <v>2649024</v>
      </c>
      <c r="AR131" s="73">
        <v>3088859</v>
      </c>
      <c r="AS131" s="73">
        <v>3367066</v>
      </c>
      <c r="AT131" s="73">
        <v>2869554</v>
      </c>
      <c r="AU131" s="73">
        <v>3368390</v>
      </c>
      <c r="AV131">
        <v>2939351</v>
      </c>
      <c r="AW131">
        <v>4403086</v>
      </c>
      <c r="AX131">
        <v>2275355</v>
      </c>
    </row>
    <row r="132" spans="1:50" ht="14.5" x14ac:dyDescent="0.35">
      <c r="A132" s="72" t="s">
        <v>259</v>
      </c>
      <c r="B132" s="72" t="str">
        <f>VLOOKUP(Tabelle_Abfrage_von_MS_Access_Database3[[#This Row],[LAND]],Texte!$A$4:$C$261,Texte!$A$1+1,FALSE)</f>
        <v>Costa Rica</v>
      </c>
      <c r="C132" s="72" t="s">
        <v>508</v>
      </c>
      <c r="D132" s="72" t="s">
        <v>557</v>
      </c>
      <c r="E132" s="73">
        <v>14763000</v>
      </c>
      <c r="F132" s="73">
        <v>17611000</v>
      </c>
      <c r="G132" s="73">
        <v>17380000</v>
      </c>
      <c r="H132" s="73">
        <v>20355000</v>
      </c>
      <c r="I132" s="73">
        <v>20598000</v>
      </c>
      <c r="J132" s="73">
        <v>23016000</v>
      </c>
      <c r="K132" s="73">
        <v>24263000</v>
      </c>
      <c r="L132" s="73">
        <v>27149000</v>
      </c>
      <c r="M132" s="73">
        <v>28815000</v>
      </c>
      <c r="N132" s="73">
        <v>25879000</v>
      </c>
      <c r="O132" s="73">
        <v>25983000</v>
      </c>
      <c r="P132" s="73">
        <v>29799000</v>
      </c>
      <c r="Q132" s="73">
        <v>33802000</v>
      </c>
      <c r="R132" s="73">
        <v>31579000</v>
      </c>
      <c r="S132" s="73">
        <v>27238000</v>
      </c>
      <c r="T132" s="73">
        <v>34232000</v>
      </c>
      <c r="U132" s="73">
        <v>38734000</v>
      </c>
      <c r="V132" s="73">
        <v>27933836</v>
      </c>
      <c r="W132" s="73">
        <v>34043443</v>
      </c>
      <c r="X132" s="73">
        <v>32408520</v>
      </c>
      <c r="Y132" s="73">
        <v>36510682</v>
      </c>
      <c r="Z132" s="73">
        <v>25128157</v>
      </c>
      <c r="AA132" s="73">
        <v>23892645</v>
      </c>
      <c r="AB132" s="73">
        <v>25051277</v>
      </c>
      <c r="AC132" s="73">
        <v>30493737</v>
      </c>
      <c r="AD132" s="73">
        <v>31635173</v>
      </c>
      <c r="AE132" s="73">
        <v>34159528</v>
      </c>
      <c r="AF132" s="73">
        <v>37386112</v>
      </c>
      <c r="AG132" s="73">
        <v>40773647</v>
      </c>
      <c r="AH132" s="73">
        <v>39474839</v>
      </c>
      <c r="AI132" s="73">
        <v>52019877</v>
      </c>
      <c r="AJ132" s="73">
        <v>69303637</v>
      </c>
      <c r="AK132" s="73">
        <v>92944619</v>
      </c>
      <c r="AL132" s="73">
        <v>48829533</v>
      </c>
      <c r="AM132" s="73">
        <v>42310873</v>
      </c>
      <c r="AN132" s="73">
        <v>29451842</v>
      </c>
      <c r="AO132" s="73">
        <v>35553705</v>
      </c>
      <c r="AP132" s="73">
        <v>45703809</v>
      </c>
      <c r="AQ132" s="73">
        <v>43134625</v>
      </c>
      <c r="AR132" s="73">
        <v>43124062</v>
      </c>
      <c r="AS132" s="73">
        <v>39436955</v>
      </c>
      <c r="AT132" s="73">
        <v>44089118</v>
      </c>
      <c r="AU132" s="73">
        <v>43483665</v>
      </c>
      <c r="AV132">
        <v>50702907</v>
      </c>
      <c r="AW132">
        <v>54731075</v>
      </c>
      <c r="AX132">
        <v>67490117</v>
      </c>
    </row>
    <row r="133" spans="1:50" ht="14.5" x14ac:dyDescent="0.35">
      <c r="A133" s="72" t="s">
        <v>261</v>
      </c>
      <c r="B133" s="72" t="str">
        <f>VLOOKUP(Tabelle_Abfrage_von_MS_Access_Database3[[#This Row],[LAND]],Texte!$A$4:$C$261,Texte!$A$1+1,FALSE)</f>
        <v>Panama</v>
      </c>
      <c r="C133" s="72" t="s">
        <v>508</v>
      </c>
      <c r="D133" s="72" t="s">
        <v>557</v>
      </c>
      <c r="E133" s="73">
        <v>11585000</v>
      </c>
      <c r="F133" s="73">
        <v>9274000</v>
      </c>
      <c r="G133" s="73">
        <v>13277000</v>
      </c>
      <c r="H133" s="73">
        <v>16266000</v>
      </c>
      <c r="I133" s="73">
        <v>16976000</v>
      </c>
      <c r="J133" s="73">
        <v>20754000</v>
      </c>
      <c r="K133" s="73">
        <v>18645000</v>
      </c>
      <c r="L133" s="73">
        <v>19565000</v>
      </c>
      <c r="M133" s="73">
        <v>17191000</v>
      </c>
      <c r="N133" s="73">
        <v>17144000</v>
      </c>
      <c r="O133" s="73">
        <v>17197000</v>
      </c>
      <c r="P133" s="73">
        <v>17819000</v>
      </c>
      <c r="Q133" s="73">
        <v>24212000</v>
      </c>
      <c r="R133" s="73">
        <v>12931000</v>
      </c>
      <c r="S133" s="73">
        <v>9678000</v>
      </c>
      <c r="T133" s="73">
        <v>10076000</v>
      </c>
      <c r="U133" s="73">
        <v>8558000</v>
      </c>
      <c r="V133" s="73">
        <v>8693122</v>
      </c>
      <c r="W133" s="73">
        <v>9812726</v>
      </c>
      <c r="X133" s="73">
        <v>6749490</v>
      </c>
      <c r="Y133" s="73">
        <v>8847265</v>
      </c>
      <c r="Z133" s="73">
        <v>8295677</v>
      </c>
      <c r="AA133" s="73">
        <v>7781880</v>
      </c>
      <c r="AB133" s="73">
        <v>12620868</v>
      </c>
      <c r="AC133" s="73">
        <v>11776579</v>
      </c>
      <c r="AD133" s="73">
        <v>10852363</v>
      </c>
      <c r="AE133" s="73">
        <v>10495878</v>
      </c>
      <c r="AF133" s="73">
        <v>15429548</v>
      </c>
      <c r="AG133" s="73">
        <v>11624749</v>
      </c>
      <c r="AH133" s="73">
        <v>10365922</v>
      </c>
      <c r="AI133" s="73">
        <v>6793364</v>
      </c>
      <c r="AJ133" s="73">
        <v>3795215</v>
      </c>
      <c r="AK133" s="73">
        <v>1698745</v>
      </c>
      <c r="AL133" s="73">
        <v>3226765</v>
      </c>
      <c r="AM133" s="73">
        <v>2820250</v>
      </c>
      <c r="AN133" s="73">
        <v>3239092</v>
      </c>
      <c r="AO133" s="73">
        <v>1849934</v>
      </c>
      <c r="AP133" s="73">
        <v>1575194</v>
      </c>
      <c r="AQ133" s="73">
        <v>6473903</v>
      </c>
      <c r="AR133" s="73">
        <v>8888255</v>
      </c>
      <c r="AS133" s="73">
        <v>4508091</v>
      </c>
      <c r="AT133" s="73">
        <v>3967606</v>
      </c>
      <c r="AU133" s="73">
        <v>5453756</v>
      </c>
      <c r="AV133">
        <v>5469740</v>
      </c>
      <c r="AW133">
        <v>11782128</v>
      </c>
      <c r="AX133">
        <v>3705892</v>
      </c>
    </row>
    <row r="134" spans="1:50" ht="14.5" x14ac:dyDescent="0.35">
      <c r="A134" s="72" t="s">
        <v>263</v>
      </c>
      <c r="B134" s="72" t="str">
        <f>VLOOKUP(Tabelle_Abfrage_von_MS_Access_Database3[[#This Row],[LAND]],Texte!$A$4:$C$261,Texte!$A$1+1,FALSE)</f>
        <v>Anguilla</v>
      </c>
      <c r="C134" s="72" t="s">
        <v>525</v>
      </c>
      <c r="D134" s="72" t="s">
        <v>557</v>
      </c>
      <c r="E134" s="73">
        <v>0</v>
      </c>
      <c r="F134" s="73">
        <v>0</v>
      </c>
      <c r="G134" s="73">
        <v>0</v>
      </c>
      <c r="H134" s="73">
        <v>0</v>
      </c>
      <c r="I134" s="73">
        <v>0</v>
      </c>
      <c r="J134" s="73">
        <v>0</v>
      </c>
      <c r="K134" s="73">
        <v>0</v>
      </c>
      <c r="L134" s="73">
        <v>0</v>
      </c>
      <c r="M134" s="73">
        <v>0</v>
      </c>
      <c r="N134" s="73">
        <v>0</v>
      </c>
      <c r="O134" s="73">
        <v>0</v>
      </c>
      <c r="P134" s="73">
        <v>0</v>
      </c>
      <c r="Q134" s="73">
        <v>0</v>
      </c>
      <c r="R134" s="73">
        <v>0</v>
      </c>
      <c r="S134" s="73">
        <v>0</v>
      </c>
      <c r="T134" s="73">
        <v>0</v>
      </c>
      <c r="U134" s="73">
        <v>0</v>
      </c>
      <c r="V134" s="73">
        <v>106901</v>
      </c>
      <c r="W134" s="73">
        <v>2907</v>
      </c>
      <c r="X134" s="73">
        <v>2688</v>
      </c>
      <c r="Y134" s="73">
        <v>3707</v>
      </c>
      <c r="Z134" s="73">
        <v>3052</v>
      </c>
      <c r="AA134" s="73">
        <v>16643</v>
      </c>
      <c r="AB134" s="73">
        <v>14517</v>
      </c>
      <c r="AC134" s="73">
        <v>15915</v>
      </c>
      <c r="AD134" s="73">
        <v>58044</v>
      </c>
      <c r="AE134" s="73">
        <v>711</v>
      </c>
      <c r="AF134" s="73">
        <v>7325</v>
      </c>
      <c r="AG134" s="73">
        <v>2545</v>
      </c>
      <c r="AH134" s="73">
        <v>69359</v>
      </c>
      <c r="AI134" s="73">
        <v>8746</v>
      </c>
      <c r="AJ134" s="73">
        <v>866</v>
      </c>
      <c r="AK134" s="73">
        <v>16067</v>
      </c>
      <c r="AL134" s="73">
        <v>21856</v>
      </c>
      <c r="AM134" s="73">
        <v>452</v>
      </c>
      <c r="AN134" s="73">
        <v>0</v>
      </c>
      <c r="AO134" s="73">
        <v>187</v>
      </c>
      <c r="AP134" s="73">
        <v>364</v>
      </c>
      <c r="AQ134" s="73">
        <v>13464</v>
      </c>
      <c r="AR134" s="73">
        <v>35501</v>
      </c>
      <c r="AS134" s="73">
        <v>7262</v>
      </c>
      <c r="AT134" s="73">
        <v>17661</v>
      </c>
      <c r="AU134" s="73">
        <v>1525</v>
      </c>
      <c r="AV134">
        <v>22190</v>
      </c>
      <c r="AW134">
        <v>26069</v>
      </c>
      <c r="AX134">
        <v>18873</v>
      </c>
    </row>
    <row r="135" spans="1:50" ht="14.5" x14ac:dyDescent="0.35">
      <c r="A135" s="72" t="s">
        <v>265</v>
      </c>
      <c r="B135" s="72" t="str">
        <f>VLOOKUP(Tabelle_Abfrage_von_MS_Access_Database3[[#This Row],[LAND]],Texte!$A$4:$C$261,Texte!$A$1+1,FALSE)</f>
        <v>Kuba</v>
      </c>
      <c r="C135" s="72" t="s">
        <v>508</v>
      </c>
      <c r="D135" s="72" t="s">
        <v>557</v>
      </c>
      <c r="E135" s="73">
        <v>3490000</v>
      </c>
      <c r="F135" s="73">
        <v>5082000</v>
      </c>
      <c r="G135" s="73">
        <v>4910000</v>
      </c>
      <c r="H135" s="73">
        <v>3526000</v>
      </c>
      <c r="I135" s="73">
        <v>4850000</v>
      </c>
      <c r="J135" s="73">
        <v>2635000</v>
      </c>
      <c r="K135" s="73">
        <v>3415000</v>
      </c>
      <c r="L135" s="73">
        <v>3099000</v>
      </c>
      <c r="M135" s="73">
        <v>2240000</v>
      </c>
      <c r="N135" s="73">
        <v>3172000</v>
      </c>
      <c r="O135" s="73">
        <v>2746000</v>
      </c>
      <c r="P135" s="73">
        <v>4529000</v>
      </c>
      <c r="Q135" s="73">
        <v>2230000</v>
      </c>
      <c r="R135" s="73">
        <v>975000</v>
      </c>
      <c r="S135" s="73">
        <v>1445000</v>
      </c>
      <c r="T135" s="73">
        <v>1713000</v>
      </c>
      <c r="U135" s="73">
        <v>2693000</v>
      </c>
      <c r="V135" s="73">
        <v>797227</v>
      </c>
      <c r="W135" s="73">
        <v>1029118</v>
      </c>
      <c r="X135" s="73">
        <v>599622</v>
      </c>
      <c r="Y135" s="73">
        <v>862917</v>
      </c>
      <c r="Z135" s="73">
        <v>1582596</v>
      </c>
      <c r="AA135" s="73">
        <v>2191593</v>
      </c>
      <c r="AB135" s="73">
        <v>2754057</v>
      </c>
      <c r="AC135" s="73">
        <v>2155045</v>
      </c>
      <c r="AD135" s="73">
        <v>2737278</v>
      </c>
      <c r="AE135" s="73">
        <v>1831579</v>
      </c>
      <c r="AF135" s="73">
        <v>2787610</v>
      </c>
      <c r="AG135" s="73">
        <v>2385638</v>
      </c>
      <c r="AH135" s="73">
        <v>2630084</v>
      </c>
      <c r="AI135" s="73">
        <v>3685212</v>
      </c>
      <c r="AJ135" s="73">
        <v>2977694</v>
      </c>
      <c r="AK135" s="73">
        <v>3528084</v>
      </c>
      <c r="AL135" s="73">
        <v>3882145</v>
      </c>
      <c r="AM135" s="73">
        <v>5089861</v>
      </c>
      <c r="AN135" s="73">
        <v>3377572</v>
      </c>
      <c r="AO135" s="73">
        <v>3783798</v>
      </c>
      <c r="AP135" s="73">
        <v>2862586</v>
      </c>
      <c r="AQ135" s="73">
        <v>2994808</v>
      </c>
      <c r="AR135" s="73">
        <v>3086767</v>
      </c>
      <c r="AS135" s="73">
        <v>2361354</v>
      </c>
      <c r="AT135" s="73">
        <v>2480174</v>
      </c>
      <c r="AU135" s="73">
        <v>1058378</v>
      </c>
      <c r="AV135">
        <v>1502712</v>
      </c>
      <c r="AW135">
        <v>1327461</v>
      </c>
      <c r="AX135">
        <v>832551</v>
      </c>
    </row>
    <row r="136" spans="1:50" ht="14.5" x14ac:dyDescent="0.35">
      <c r="A136" s="72" t="s">
        <v>267</v>
      </c>
      <c r="B136" s="72" t="str">
        <f>VLOOKUP(Tabelle_Abfrage_von_MS_Access_Database3[[#This Row],[LAND]],Texte!$A$4:$C$261,Texte!$A$1+1,FALSE)</f>
        <v>St.Kitts und Nevis</v>
      </c>
      <c r="C136" s="72" t="s">
        <v>517</v>
      </c>
      <c r="D136" s="72" t="s">
        <v>557</v>
      </c>
      <c r="E136" s="73">
        <v>0</v>
      </c>
      <c r="F136" s="73">
        <v>0</v>
      </c>
      <c r="G136" s="73">
        <v>0</v>
      </c>
      <c r="H136" s="73">
        <v>0</v>
      </c>
      <c r="I136" s="73">
        <v>0</v>
      </c>
      <c r="J136" s="73">
        <v>0</v>
      </c>
      <c r="K136" s="73">
        <v>0</v>
      </c>
      <c r="L136" s="73">
        <v>0</v>
      </c>
      <c r="M136" s="73">
        <v>0</v>
      </c>
      <c r="N136" s="73">
        <v>3000</v>
      </c>
      <c r="O136" s="73">
        <v>19000</v>
      </c>
      <c r="P136" s="73">
        <v>55000</v>
      </c>
      <c r="Q136" s="73">
        <v>2000</v>
      </c>
      <c r="R136" s="73">
        <v>176000</v>
      </c>
      <c r="S136" s="73">
        <v>0</v>
      </c>
      <c r="T136" s="73">
        <v>2000</v>
      </c>
      <c r="U136" s="73">
        <v>2000</v>
      </c>
      <c r="V136" s="73">
        <v>13662</v>
      </c>
      <c r="W136" s="73">
        <v>18532</v>
      </c>
      <c r="X136" s="73">
        <v>3198</v>
      </c>
      <c r="Y136" s="73">
        <v>727</v>
      </c>
      <c r="Z136" s="73">
        <v>17079</v>
      </c>
      <c r="AA136" s="73">
        <v>23910</v>
      </c>
      <c r="AB136" s="73">
        <v>652</v>
      </c>
      <c r="AC136" s="73">
        <v>0</v>
      </c>
      <c r="AD136" s="73">
        <v>52486</v>
      </c>
      <c r="AE136" s="73">
        <v>147658</v>
      </c>
      <c r="AF136" s="73">
        <v>121410</v>
      </c>
      <c r="AG136" s="73">
        <v>65420</v>
      </c>
      <c r="AH136" s="73">
        <v>157</v>
      </c>
      <c r="AI136" s="73">
        <v>18057</v>
      </c>
      <c r="AJ136" s="73">
        <v>34242</v>
      </c>
      <c r="AK136" s="73">
        <v>1236</v>
      </c>
      <c r="AL136" s="73">
        <v>98</v>
      </c>
      <c r="AM136" s="73">
        <v>7019</v>
      </c>
      <c r="AN136" s="73">
        <v>0</v>
      </c>
      <c r="AO136" s="73">
        <v>1661</v>
      </c>
      <c r="AP136" s="73">
        <v>2969</v>
      </c>
      <c r="AQ136" s="73">
        <v>11719</v>
      </c>
      <c r="AR136" s="73">
        <v>9914</v>
      </c>
      <c r="AS136" s="73">
        <v>1453</v>
      </c>
      <c r="AT136" s="73">
        <v>1470</v>
      </c>
      <c r="AU136" s="73">
        <v>2806</v>
      </c>
      <c r="AV136">
        <v>46700</v>
      </c>
      <c r="AW136">
        <v>69882</v>
      </c>
      <c r="AX136">
        <v>33380</v>
      </c>
    </row>
    <row r="137" spans="1:50" ht="14.5" x14ac:dyDescent="0.35">
      <c r="A137" s="72" t="s">
        <v>269</v>
      </c>
      <c r="B137" s="72" t="str">
        <f>VLOOKUP(Tabelle_Abfrage_von_MS_Access_Database3[[#This Row],[LAND]],Texte!$A$4:$C$261,Texte!$A$1+1,FALSE)</f>
        <v>Haiti</v>
      </c>
      <c r="C137" s="72" t="s">
        <v>508</v>
      </c>
      <c r="D137" s="72" t="s">
        <v>557</v>
      </c>
      <c r="E137" s="73">
        <v>197000</v>
      </c>
      <c r="F137" s="73">
        <v>674000</v>
      </c>
      <c r="G137" s="73">
        <v>403000</v>
      </c>
      <c r="H137" s="73">
        <v>111000</v>
      </c>
      <c r="I137" s="73">
        <v>188000</v>
      </c>
      <c r="J137" s="73">
        <v>213000</v>
      </c>
      <c r="K137" s="73">
        <v>925000</v>
      </c>
      <c r="L137" s="73">
        <v>557000</v>
      </c>
      <c r="M137" s="73">
        <v>4964000</v>
      </c>
      <c r="N137" s="73">
        <v>72000</v>
      </c>
      <c r="O137" s="73">
        <v>402000</v>
      </c>
      <c r="P137" s="73">
        <v>366000</v>
      </c>
      <c r="Q137" s="73">
        <v>198000</v>
      </c>
      <c r="R137" s="73">
        <v>143000</v>
      </c>
      <c r="S137" s="73">
        <v>109000</v>
      </c>
      <c r="T137" s="73">
        <v>58000</v>
      </c>
      <c r="U137" s="73">
        <v>61000</v>
      </c>
      <c r="V137" s="73">
        <v>52905</v>
      </c>
      <c r="W137" s="73">
        <v>24999</v>
      </c>
      <c r="X137" s="73">
        <v>13082</v>
      </c>
      <c r="Y137" s="73">
        <v>160754</v>
      </c>
      <c r="Z137" s="73">
        <v>105299</v>
      </c>
      <c r="AA137" s="73">
        <v>104721</v>
      </c>
      <c r="AB137" s="73">
        <v>87915</v>
      </c>
      <c r="AC137" s="73">
        <v>42623</v>
      </c>
      <c r="AD137" s="73">
        <v>111613</v>
      </c>
      <c r="AE137" s="73">
        <v>96958</v>
      </c>
      <c r="AF137" s="73">
        <v>50687</v>
      </c>
      <c r="AG137" s="73">
        <v>146944</v>
      </c>
      <c r="AH137" s="73">
        <v>57853</v>
      </c>
      <c r="AI137" s="73">
        <v>32726</v>
      </c>
      <c r="AJ137" s="73">
        <v>37230</v>
      </c>
      <c r="AK137" s="73">
        <v>35282</v>
      </c>
      <c r="AL137" s="73">
        <v>29738</v>
      </c>
      <c r="AM137" s="73">
        <v>154980</v>
      </c>
      <c r="AN137" s="73">
        <v>202067</v>
      </c>
      <c r="AO137" s="73">
        <v>88085</v>
      </c>
      <c r="AP137" s="73">
        <v>539554</v>
      </c>
      <c r="AQ137" s="73">
        <v>183641</v>
      </c>
      <c r="AR137" s="73">
        <v>279256</v>
      </c>
      <c r="AS137" s="73">
        <v>409149</v>
      </c>
      <c r="AT137" s="73">
        <v>693204</v>
      </c>
      <c r="AU137" s="73">
        <v>698140</v>
      </c>
      <c r="AV137">
        <v>408007</v>
      </c>
      <c r="AW137">
        <v>525348</v>
      </c>
      <c r="AX137">
        <v>490660</v>
      </c>
    </row>
    <row r="138" spans="1:50" ht="14.5" x14ac:dyDescent="0.35">
      <c r="A138" s="72" t="s">
        <v>271</v>
      </c>
      <c r="B138" s="72" t="str">
        <f>VLOOKUP(Tabelle_Abfrage_von_MS_Access_Database3[[#This Row],[LAND]],Texte!$A$4:$C$261,Texte!$A$1+1,FALSE)</f>
        <v>Bahamas</v>
      </c>
      <c r="C138" s="72" t="s">
        <v>508</v>
      </c>
      <c r="D138" s="72" t="s">
        <v>557</v>
      </c>
      <c r="E138" s="73">
        <v>1663000</v>
      </c>
      <c r="F138" s="73">
        <v>541000</v>
      </c>
      <c r="G138" s="73">
        <v>340000</v>
      </c>
      <c r="H138" s="73">
        <v>517000</v>
      </c>
      <c r="I138" s="73">
        <v>306000</v>
      </c>
      <c r="J138" s="73">
        <v>153000</v>
      </c>
      <c r="K138" s="73">
        <v>120000</v>
      </c>
      <c r="L138" s="73">
        <v>178000</v>
      </c>
      <c r="M138" s="73">
        <v>50000</v>
      </c>
      <c r="N138" s="73">
        <v>165000</v>
      </c>
      <c r="O138" s="73">
        <v>80000</v>
      </c>
      <c r="P138" s="73">
        <v>1063000</v>
      </c>
      <c r="Q138" s="73">
        <v>886000</v>
      </c>
      <c r="R138" s="73">
        <v>2248000</v>
      </c>
      <c r="S138" s="73">
        <v>590000</v>
      </c>
      <c r="T138" s="73">
        <v>318000</v>
      </c>
      <c r="U138" s="73">
        <v>334000</v>
      </c>
      <c r="V138" s="73">
        <v>261405</v>
      </c>
      <c r="W138" s="73">
        <v>155011</v>
      </c>
      <c r="X138" s="73">
        <v>7050</v>
      </c>
      <c r="Y138" s="73">
        <v>511689</v>
      </c>
      <c r="Z138" s="73">
        <v>17369</v>
      </c>
      <c r="AA138" s="73">
        <v>48764</v>
      </c>
      <c r="AB138" s="73">
        <v>14714</v>
      </c>
      <c r="AC138" s="73">
        <v>391996</v>
      </c>
      <c r="AD138" s="73">
        <v>1479792</v>
      </c>
      <c r="AE138" s="73">
        <v>115660</v>
      </c>
      <c r="AF138" s="73">
        <v>101382</v>
      </c>
      <c r="AG138" s="73">
        <v>93009</v>
      </c>
      <c r="AH138" s="73">
        <v>1235996</v>
      </c>
      <c r="AI138" s="73">
        <v>1211157</v>
      </c>
      <c r="AJ138" s="73">
        <v>1016830</v>
      </c>
      <c r="AK138" s="73">
        <v>1461751</v>
      </c>
      <c r="AL138" s="73">
        <v>1217391</v>
      </c>
      <c r="AM138" s="73">
        <v>861934</v>
      </c>
      <c r="AN138" s="73">
        <v>4089921</v>
      </c>
      <c r="AO138" s="73">
        <v>168839</v>
      </c>
      <c r="AP138" s="73">
        <v>193498</v>
      </c>
      <c r="AQ138" s="73">
        <v>148539</v>
      </c>
      <c r="AR138" s="73">
        <v>336285</v>
      </c>
      <c r="AS138" s="73">
        <v>714096</v>
      </c>
      <c r="AT138" s="73">
        <v>520511</v>
      </c>
      <c r="AU138" s="73">
        <v>141300</v>
      </c>
      <c r="AV138">
        <v>146342</v>
      </c>
      <c r="AW138">
        <v>261071</v>
      </c>
      <c r="AX138">
        <v>430855</v>
      </c>
    </row>
    <row r="139" spans="1:50" ht="14.5" x14ac:dyDescent="0.35">
      <c r="A139" s="72" t="s">
        <v>273</v>
      </c>
      <c r="B139" s="72" t="str">
        <f>VLOOKUP(Tabelle_Abfrage_von_MS_Access_Database3[[#This Row],[LAND]],Texte!$A$4:$C$261,Texte!$A$1+1,FALSE)</f>
        <v>Turks-und Caicosinseln</v>
      </c>
      <c r="C139" s="72" t="s">
        <v>512</v>
      </c>
      <c r="D139" s="72" t="s">
        <v>557</v>
      </c>
      <c r="E139" s="73">
        <v>0</v>
      </c>
      <c r="F139" s="73">
        <v>0</v>
      </c>
      <c r="G139" s="73">
        <v>0</v>
      </c>
      <c r="H139" s="73">
        <v>0</v>
      </c>
      <c r="I139" s="73">
        <v>2000</v>
      </c>
      <c r="J139" s="73">
        <v>1000</v>
      </c>
      <c r="K139" s="73">
        <v>0</v>
      </c>
      <c r="L139" s="73">
        <v>1000</v>
      </c>
      <c r="M139" s="73">
        <v>2000</v>
      </c>
      <c r="N139" s="73">
        <v>0</v>
      </c>
      <c r="O139" s="73">
        <v>12000</v>
      </c>
      <c r="P139" s="73">
        <v>0</v>
      </c>
      <c r="Q139" s="73">
        <v>5000</v>
      </c>
      <c r="R139" s="73">
        <v>0</v>
      </c>
      <c r="S139" s="73">
        <v>20000</v>
      </c>
      <c r="T139" s="73">
        <v>0</v>
      </c>
      <c r="U139" s="73">
        <v>10000</v>
      </c>
      <c r="V139" s="73">
        <v>34011</v>
      </c>
      <c r="W139" s="73">
        <v>115985</v>
      </c>
      <c r="X139" s="73">
        <v>13952</v>
      </c>
      <c r="Y139" s="73">
        <v>167799</v>
      </c>
      <c r="Z139" s="73">
        <v>32921</v>
      </c>
      <c r="AA139" s="73">
        <v>169398</v>
      </c>
      <c r="AB139" s="73">
        <v>577843</v>
      </c>
      <c r="AC139" s="73">
        <v>341683</v>
      </c>
      <c r="AD139" s="73">
        <v>89450</v>
      </c>
      <c r="AE139" s="73">
        <v>6894</v>
      </c>
      <c r="AF139" s="73">
        <v>11558</v>
      </c>
      <c r="AG139" s="73">
        <v>20992</v>
      </c>
      <c r="AH139" s="73">
        <v>1055</v>
      </c>
      <c r="AI139" s="73">
        <v>7170</v>
      </c>
      <c r="AJ139" s="73">
        <v>1589</v>
      </c>
      <c r="AK139" s="73">
        <v>4894</v>
      </c>
      <c r="AL139" s="73">
        <v>70</v>
      </c>
      <c r="AM139" s="73">
        <v>0</v>
      </c>
      <c r="AN139" s="73">
        <v>15</v>
      </c>
      <c r="AO139" s="73">
        <v>165</v>
      </c>
      <c r="AP139" s="73">
        <v>4879</v>
      </c>
      <c r="AQ139" s="73">
        <v>10108</v>
      </c>
      <c r="AR139" s="73">
        <v>19</v>
      </c>
      <c r="AS139" s="73">
        <v>0</v>
      </c>
      <c r="AT139" s="73">
        <v>11723</v>
      </c>
      <c r="AU139" s="73">
        <v>87</v>
      </c>
      <c r="AV139">
        <v>16058</v>
      </c>
      <c r="AW139">
        <v>149178</v>
      </c>
      <c r="AX139">
        <v>33154</v>
      </c>
    </row>
    <row r="140" spans="1:50" ht="14.5" x14ac:dyDescent="0.35">
      <c r="A140" s="72" t="s">
        <v>275</v>
      </c>
      <c r="B140" s="72" t="str">
        <f>VLOOKUP(Tabelle_Abfrage_von_MS_Access_Database3[[#This Row],[LAND]],Texte!$A$4:$C$261,Texte!$A$1+1,FALSE)</f>
        <v>Dominikanische Republik</v>
      </c>
      <c r="C140" s="72" t="s">
        <v>508</v>
      </c>
      <c r="D140" s="72" t="s">
        <v>557</v>
      </c>
      <c r="E140" s="73">
        <v>1149000</v>
      </c>
      <c r="F140" s="73">
        <v>1101000</v>
      </c>
      <c r="G140" s="73">
        <v>1570000</v>
      </c>
      <c r="H140" s="73">
        <v>1309000</v>
      </c>
      <c r="I140" s="73">
        <v>45000</v>
      </c>
      <c r="J140" s="73">
        <v>834000</v>
      </c>
      <c r="K140" s="73">
        <v>2157000</v>
      </c>
      <c r="L140" s="73">
        <v>1363000</v>
      </c>
      <c r="M140" s="73">
        <v>484000</v>
      </c>
      <c r="N140" s="73">
        <v>489000</v>
      </c>
      <c r="O140" s="73">
        <v>91000</v>
      </c>
      <c r="P140" s="73">
        <v>105000</v>
      </c>
      <c r="Q140" s="73">
        <v>214000</v>
      </c>
      <c r="R140" s="73">
        <v>365000</v>
      </c>
      <c r="S140" s="73">
        <v>711000</v>
      </c>
      <c r="T140" s="73">
        <v>753000</v>
      </c>
      <c r="U140" s="73">
        <v>699000</v>
      </c>
      <c r="V140" s="73">
        <v>1133039</v>
      </c>
      <c r="W140" s="73">
        <v>1379108</v>
      </c>
      <c r="X140" s="73">
        <v>2459027</v>
      </c>
      <c r="Y140" s="73">
        <v>1772848</v>
      </c>
      <c r="Z140" s="73">
        <v>2390935</v>
      </c>
      <c r="AA140" s="73">
        <v>2341446</v>
      </c>
      <c r="AB140" s="73">
        <v>2833446</v>
      </c>
      <c r="AC140" s="73">
        <v>3585712</v>
      </c>
      <c r="AD140" s="73">
        <v>5533425</v>
      </c>
      <c r="AE140" s="73">
        <v>4836528</v>
      </c>
      <c r="AF140" s="73">
        <v>7117703</v>
      </c>
      <c r="AG140" s="73">
        <v>13664825</v>
      </c>
      <c r="AH140" s="73">
        <v>13707846</v>
      </c>
      <c r="AI140" s="73">
        <v>12477254</v>
      </c>
      <c r="AJ140" s="73">
        <v>12382620</v>
      </c>
      <c r="AK140" s="73">
        <v>16233409</v>
      </c>
      <c r="AL140" s="73">
        <v>15618125</v>
      </c>
      <c r="AM140" s="73">
        <v>11563354</v>
      </c>
      <c r="AN140" s="73">
        <v>15749127</v>
      </c>
      <c r="AO140" s="73">
        <v>20357343</v>
      </c>
      <c r="AP140" s="73">
        <v>24055597</v>
      </c>
      <c r="AQ140" s="73">
        <v>23269654</v>
      </c>
      <c r="AR140" s="73">
        <v>23741307</v>
      </c>
      <c r="AS140" s="73">
        <v>26428077</v>
      </c>
      <c r="AT140" s="73">
        <v>27842613</v>
      </c>
      <c r="AU140" s="73">
        <v>26409542</v>
      </c>
      <c r="AV140">
        <v>25358042</v>
      </c>
      <c r="AW140">
        <v>25280015</v>
      </c>
      <c r="AX140">
        <v>34508322</v>
      </c>
    </row>
    <row r="141" spans="1:50" ht="14.5" x14ac:dyDescent="0.35">
      <c r="A141" s="72" t="s">
        <v>277</v>
      </c>
      <c r="B141" s="72" t="str">
        <f>VLOOKUP(Tabelle_Abfrage_von_MS_Access_Database3[[#This Row],[LAND]],Texte!$A$4:$C$261,Texte!$A$1+1,FALSE)</f>
        <v>Amerik.Jungferninseln</v>
      </c>
      <c r="C141" s="72" t="s">
        <v>513</v>
      </c>
      <c r="D141" s="72" t="s">
        <v>557</v>
      </c>
      <c r="E141" s="73">
        <v>0</v>
      </c>
      <c r="F141" s="73">
        <v>0</v>
      </c>
      <c r="G141" s="73">
        <v>0</v>
      </c>
      <c r="H141" s="73">
        <v>0</v>
      </c>
      <c r="I141" s="73">
        <v>0</v>
      </c>
      <c r="J141" s="73">
        <v>0</v>
      </c>
      <c r="K141" s="73">
        <v>0</v>
      </c>
      <c r="L141" s="73">
        <v>0</v>
      </c>
      <c r="M141" s="73">
        <v>69000</v>
      </c>
      <c r="N141" s="73">
        <v>91000</v>
      </c>
      <c r="O141" s="73">
        <v>1000</v>
      </c>
      <c r="P141" s="73">
        <v>0</v>
      </c>
      <c r="Q141" s="73">
        <v>1000</v>
      </c>
      <c r="R141" s="73">
        <v>3000</v>
      </c>
      <c r="S141" s="73">
        <v>44000</v>
      </c>
      <c r="T141" s="73">
        <v>2000</v>
      </c>
      <c r="U141" s="73">
        <v>175000</v>
      </c>
      <c r="V141" s="73">
        <v>208136</v>
      </c>
      <c r="W141" s="73">
        <v>86336</v>
      </c>
      <c r="X141" s="73">
        <v>32482</v>
      </c>
      <c r="Y141" s="73">
        <v>13007</v>
      </c>
      <c r="Z141" s="73">
        <v>160971</v>
      </c>
      <c r="AA141" s="73">
        <v>144109</v>
      </c>
      <c r="AB141" s="73">
        <v>108694</v>
      </c>
      <c r="AC141" s="73">
        <v>68552</v>
      </c>
      <c r="AD141" s="73">
        <v>78818</v>
      </c>
      <c r="AE141" s="73">
        <v>38016</v>
      </c>
      <c r="AF141" s="73">
        <v>91242</v>
      </c>
      <c r="AG141" s="73">
        <v>76758</v>
      </c>
      <c r="AH141" s="73">
        <v>62588</v>
      </c>
      <c r="AI141" s="73">
        <v>209161</v>
      </c>
      <c r="AJ141" s="73">
        <v>128032</v>
      </c>
      <c r="AK141" s="73">
        <v>144397</v>
      </c>
      <c r="AL141" s="73">
        <v>349504</v>
      </c>
      <c r="AM141" s="73">
        <v>170356</v>
      </c>
      <c r="AN141" s="73">
        <v>75762</v>
      </c>
      <c r="AO141" s="73">
        <v>88135</v>
      </c>
      <c r="AP141" s="73">
        <v>41305</v>
      </c>
      <c r="AQ141" s="73">
        <v>68456</v>
      </c>
      <c r="AR141" s="73">
        <v>90115</v>
      </c>
      <c r="AS141" s="73">
        <v>174809</v>
      </c>
      <c r="AT141" s="73">
        <v>1103854</v>
      </c>
      <c r="AU141" s="73">
        <v>484327</v>
      </c>
      <c r="AV141">
        <v>697472</v>
      </c>
      <c r="AW141">
        <v>5055072</v>
      </c>
      <c r="AX141">
        <v>1507114</v>
      </c>
    </row>
    <row r="142" spans="1:50" ht="14.5" x14ac:dyDescent="0.35">
      <c r="A142" s="72" t="s">
        <v>279</v>
      </c>
      <c r="B142" s="72" t="str">
        <f>VLOOKUP(Tabelle_Abfrage_von_MS_Access_Database3[[#This Row],[LAND]],Texte!$A$4:$C$261,Texte!$A$1+1,FALSE)</f>
        <v>Guadeloupe</v>
      </c>
      <c r="C142" s="72" t="s">
        <v>508</v>
      </c>
      <c r="D142" s="72" t="s">
        <v>526</v>
      </c>
      <c r="E142" s="73">
        <v>8000</v>
      </c>
      <c r="F142" s="73">
        <v>5000</v>
      </c>
      <c r="G142" s="73">
        <v>6000</v>
      </c>
      <c r="H142" s="73">
        <v>5000</v>
      </c>
      <c r="I142" s="73">
        <v>5000</v>
      </c>
      <c r="J142" s="73">
        <v>20000</v>
      </c>
      <c r="K142" s="73">
        <v>27000</v>
      </c>
      <c r="L142" s="73">
        <v>60000</v>
      </c>
      <c r="M142" s="73">
        <v>25000</v>
      </c>
      <c r="N142" s="73">
        <v>151000</v>
      </c>
      <c r="O142" s="73">
        <v>138000</v>
      </c>
      <c r="P142" s="73">
        <v>102000</v>
      </c>
      <c r="Q142" s="73">
        <v>53000</v>
      </c>
      <c r="R142" s="73">
        <v>147000</v>
      </c>
      <c r="S142" s="73">
        <v>28000</v>
      </c>
      <c r="T142" s="73">
        <v>11000</v>
      </c>
      <c r="U142" s="73">
        <v>42000</v>
      </c>
      <c r="V142" s="73">
        <v>73690</v>
      </c>
      <c r="W142" s="73">
        <v>21222</v>
      </c>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row>
    <row r="143" spans="1:50" ht="14.5" x14ac:dyDescent="0.35">
      <c r="A143" s="72" t="s">
        <v>281</v>
      </c>
      <c r="B143" s="72" t="str">
        <f>VLOOKUP(Tabelle_Abfrage_von_MS_Access_Database3[[#This Row],[LAND]],Texte!$A$4:$C$261,Texte!$A$1+1,FALSE)</f>
        <v>Antigua und Barbuda</v>
      </c>
      <c r="C143" s="72" t="s">
        <v>513</v>
      </c>
      <c r="D143" s="72" t="s">
        <v>557</v>
      </c>
      <c r="E143" s="73">
        <v>0</v>
      </c>
      <c r="F143" s="73">
        <v>0</v>
      </c>
      <c r="G143" s="73">
        <v>0</v>
      </c>
      <c r="H143" s="73">
        <v>0</v>
      </c>
      <c r="I143" s="73">
        <v>0</v>
      </c>
      <c r="J143" s="73">
        <v>0</v>
      </c>
      <c r="K143" s="73">
        <v>20000</v>
      </c>
      <c r="L143" s="73">
        <v>1000</v>
      </c>
      <c r="M143" s="73">
        <v>207000</v>
      </c>
      <c r="N143" s="73">
        <v>9000</v>
      </c>
      <c r="O143" s="73">
        <v>111000</v>
      </c>
      <c r="P143" s="73">
        <v>105000</v>
      </c>
      <c r="Q143" s="73">
        <v>128000</v>
      </c>
      <c r="R143" s="73">
        <v>18000</v>
      </c>
      <c r="S143" s="73">
        <v>128000</v>
      </c>
      <c r="T143" s="73">
        <v>25000</v>
      </c>
      <c r="U143" s="73">
        <v>46000</v>
      </c>
      <c r="V143" s="73">
        <v>50144</v>
      </c>
      <c r="W143" s="73">
        <v>52106</v>
      </c>
      <c r="X143" s="73">
        <v>31395</v>
      </c>
      <c r="Y143" s="73">
        <v>235532</v>
      </c>
      <c r="Z143" s="73">
        <v>78922</v>
      </c>
      <c r="AA143" s="73">
        <v>175793</v>
      </c>
      <c r="AB143" s="73">
        <v>306583</v>
      </c>
      <c r="AC143" s="73">
        <v>85890</v>
      </c>
      <c r="AD143" s="73">
        <v>98201</v>
      </c>
      <c r="AE143" s="73">
        <v>8040</v>
      </c>
      <c r="AF143" s="73">
        <v>10113</v>
      </c>
      <c r="AG143" s="73">
        <v>43909</v>
      </c>
      <c r="AH143" s="73">
        <v>203252</v>
      </c>
      <c r="AI143" s="73">
        <v>158143</v>
      </c>
      <c r="AJ143" s="73">
        <v>21073</v>
      </c>
      <c r="AK143" s="73">
        <v>27093</v>
      </c>
      <c r="AL143" s="73">
        <v>16277</v>
      </c>
      <c r="AM143" s="73">
        <v>21498</v>
      </c>
      <c r="AN143" s="73">
        <v>0</v>
      </c>
      <c r="AO143" s="73">
        <v>8455</v>
      </c>
      <c r="AP143" s="73">
        <v>58368</v>
      </c>
      <c r="AQ143" s="73">
        <v>52221</v>
      </c>
      <c r="AR143" s="73">
        <v>30558</v>
      </c>
      <c r="AS143" s="73">
        <v>20159</v>
      </c>
      <c r="AT143" s="73">
        <v>14196</v>
      </c>
      <c r="AU143" s="73">
        <v>28170</v>
      </c>
      <c r="AV143">
        <v>65210</v>
      </c>
      <c r="AW143">
        <v>238147</v>
      </c>
      <c r="AX143">
        <v>185643</v>
      </c>
    </row>
    <row r="144" spans="1:50" ht="14.5" x14ac:dyDescent="0.35">
      <c r="A144" s="72" t="s">
        <v>283</v>
      </c>
      <c r="B144" s="72" t="str">
        <f>VLOOKUP(Tabelle_Abfrage_von_MS_Access_Database3[[#This Row],[LAND]],Texte!$A$4:$C$261,Texte!$A$1+1,FALSE)</f>
        <v>Dominica</v>
      </c>
      <c r="C144" s="72" t="s">
        <v>512</v>
      </c>
      <c r="D144" s="72" t="s">
        <v>557</v>
      </c>
      <c r="E144" s="73">
        <v>0</v>
      </c>
      <c r="F144" s="73">
        <v>0</v>
      </c>
      <c r="G144" s="73">
        <v>0</v>
      </c>
      <c r="H144" s="73">
        <v>0</v>
      </c>
      <c r="I144" s="73">
        <v>0</v>
      </c>
      <c r="J144" s="73">
        <v>7000</v>
      </c>
      <c r="K144" s="73">
        <v>2000</v>
      </c>
      <c r="L144" s="73">
        <v>0</v>
      </c>
      <c r="M144" s="73">
        <v>0</v>
      </c>
      <c r="N144" s="73">
        <v>0</v>
      </c>
      <c r="O144" s="73">
        <v>29000</v>
      </c>
      <c r="P144" s="73">
        <v>36000</v>
      </c>
      <c r="Q144" s="73">
        <v>110000</v>
      </c>
      <c r="R144" s="73">
        <v>1000</v>
      </c>
      <c r="S144" s="73">
        <v>0</v>
      </c>
      <c r="T144" s="73">
        <v>0</v>
      </c>
      <c r="U144" s="73">
        <v>54000</v>
      </c>
      <c r="V144" s="73">
        <v>80811</v>
      </c>
      <c r="W144" s="73">
        <v>62353</v>
      </c>
      <c r="X144" s="73">
        <v>329206</v>
      </c>
      <c r="Y144" s="73">
        <v>326879</v>
      </c>
      <c r="Z144" s="73">
        <v>317435</v>
      </c>
      <c r="AA144" s="73">
        <v>187860</v>
      </c>
      <c r="AB144" s="73">
        <v>313127</v>
      </c>
      <c r="AC144" s="73">
        <v>165789</v>
      </c>
      <c r="AD144" s="73">
        <v>253737</v>
      </c>
      <c r="AE144" s="73">
        <v>262754</v>
      </c>
      <c r="AF144" s="73">
        <v>285008</v>
      </c>
      <c r="AG144" s="73">
        <v>239738</v>
      </c>
      <c r="AH144" s="73">
        <v>6210491</v>
      </c>
      <c r="AI144" s="73">
        <v>654028</v>
      </c>
      <c r="AJ144" s="73">
        <v>718223</v>
      </c>
      <c r="AK144" s="73">
        <v>136394</v>
      </c>
      <c r="AL144" s="73">
        <v>1185402</v>
      </c>
      <c r="AM144" s="73">
        <v>1030231</v>
      </c>
      <c r="AN144" s="73">
        <v>1475564</v>
      </c>
      <c r="AO144" s="73">
        <v>77918</v>
      </c>
      <c r="AP144" s="73">
        <v>118024</v>
      </c>
      <c r="AQ144" s="73">
        <v>768</v>
      </c>
      <c r="AR144" s="73">
        <v>5633</v>
      </c>
      <c r="AS144" s="73">
        <v>16830</v>
      </c>
      <c r="AT144" s="73">
        <v>1101</v>
      </c>
      <c r="AU144" s="73">
        <v>5915</v>
      </c>
      <c r="AV144">
        <v>2188</v>
      </c>
      <c r="AW144">
        <v>45989</v>
      </c>
      <c r="AX144">
        <v>73930</v>
      </c>
    </row>
    <row r="145" spans="1:50" ht="14.5" x14ac:dyDescent="0.35">
      <c r="A145" s="72" t="s">
        <v>285</v>
      </c>
      <c r="B145" s="72" t="str">
        <f>VLOOKUP(Tabelle_Abfrage_von_MS_Access_Database3[[#This Row],[LAND]],Texte!$A$4:$C$261,Texte!$A$1+1,FALSE)</f>
        <v>Martinique</v>
      </c>
      <c r="C145" s="72" t="s">
        <v>525</v>
      </c>
      <c r="D145" s="72" t="s">
        <v>526</v>
      </c>
      <c r="E145" s="73">
        <v>0</v>
      </c>
      <c r="F145" s="73">
        <v>0</v>
      </c>
      <c r="G145" s="73">
        <v>0</v>
      </c>
      <c r="H145" s="73">
        <v>0</v>
      </c>
      <c r="I145" s="73">
        <v>0</v>
      </c>
      <c r="J145" s="73">
        <v>0</v>
      </c>
      <c r="K145" s="73">
        <v>0</v>
      </c>
      <c r="L145" s="73">
        <v>0</v>
      </c>
      <c r="M145" s="73">
        <v>0</v>
      </c>
      <c r="N145" s="73">
        <v>0</v>
      </c>
      <c r="O145" s="73">
        <v>0</v>
      </c>
      <c r="P145" s="73">
        <v>0</v>
      </c>
      <c r="Q145" s="73">
        <v>0</v>
      </c>
      <c r="R145" s="73">
        <v>0</v>
      </c>
      <c r="S145" s="73">
        <v>0</v>
      </c>
      <c r="T145" s="73">
        <v>0</v>
      </c>
      <c r="U145" s="73">
        <v>0</v>
      </c>
      <c r="V145" s="73">
        <v>2108</v>
      </c>
      <c r="W145" s="73">
        <v>220127</v>
      </c>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row>
    <row r="146" spans="1:50" ht="14.5" x14ac:dyDescent="0.35">
      <c r="A146" s="72" t="s">
        <v>287</v>
      </c>
      <c r="B146" s="72" t="str">
        <f>VLOOKUP(Tabelle_Abfrage_von_MS_Access_Database3[[#This Row],[LAND]],Texte!$A$4:$C$261,Texte!$A$1+1,FALSE)</f>
        <v>Kaimaninseln</v>
      </c>
      <c r="C146" s="72" t="s">
        <v>512</v>
      </c>
      <c r="D146" s="72" t="s">
        <v>557</v>
      </c>
      <c r="E146" s="73">
        <v>0</v>
      </c>
      <c r="F146" s="73">
        <v>0</v>
      </c>
      <c r="G146" s="73">
        <v>0</v>
      </c>
      <c r="H146" s="73">
        <v>0</v>
      </c>
      <c r="I146" s="73">
        <v>6000</v>
      </c>
      <c r="J146" s="73">
        <v>0</v>
      </c>
      <c r="K146" s="73">
        <v>0</v>
      </c>
      <c r="L146" s="73">
        <v>0</v>
      </c>
      <c r="M146" s="73">
        <v>0</v>
      </c>
      <c r="N146" s="73">
        <v>417000</v>
      </c>
      <c r="O146" s="73">
        <v>0</v>
      </c>
      <c r="P146" s="73">
        <v>346000</v>
      </c>
      <c r="Q146" s="73">
        <v>14000</v>
      </c>
      <c r="R146" s="73">
        <v>1000</v>
      </c>
      <c r="S146" s="73">
        <v>18000</v>
      </c>
      <c r="T146" s="73">
        <v>50000</v>
      </c>
      <c r="U146" s="73">
        <v>7000</v>
      </c>
      <c r="V146" s="73">
        <v>1526</v>
      </c>
      <c r="W146" s="73">
        <v>0</v>
      </c>
      <c r="X146" s="73">
        <v>218</v>
      </c>
      <c r="Y146" s="73">
        <v>11264</v>
      </c>
      <c r="Z146" s="73">
        <v>29506</v>
      </c>
      <c r="AA146" s="73">
        <v>12427</v>
      </c>
      <c r="AB146" s="73">
        <v>3000</v>
      </c>
      <c r="AC146" s="73">
        <v>6815</v>
      </c>
      <c r="AD146" s="73">
        <v>1839</v>
      </c>
      <c r="AE146" s="73">
        <v>1285</v>
      </c>
      <c r="AF146" s="73">
        <v>664</v>
      </c>
      <c r="AG146" s="73">
        <v>10686</v>
      </c>
      <c r="AH146" s="73">
        <v>3903</v>
      </c>
      <c r="AI146" s="73">
        <v>11413</v>
      </c>
      <c r="AJ146" s="73">
        <v>4268</v>
      </c>
      <c r="AK146" s="73">
        <v>1756</v>
      </c>
      <c r="AL146" s="73">
        <v>354</v>
      </c>
      <c r="AM146" s="73">
        <v>2227</v>
      </c>
      <c r="AN146" s="73">
        <v>0</v>
      </c>
      <c r="AO146" s="73">
        <v>134</v>
      </c>
      <c r="AP146" s="73">
        <v>6772</v>
      </c>
      <c r="AQ146" s="73">
        <v>68251</v>
      </c>
      <c r="AR146" s="73">
        <v>30300</v>
      </c>
      <c r="AS146" s="73">
        <v>7731</v>
      </c>
      <c r="AT146" s="73">
        <v>44830</v>
      </c>
      <c r="AU146" s="73">
        <v>220</v>
      </c>
      <c r="AV146">
        <v>1975</v>
      </c>
      <c r="AW146">
        <v>23455</v>
      </c>
      <c r="AX146">
        <v>105610</v>
      </c>
    </row>
    <row r="147" spans="1:50" ht="14.5" x14ac:dyDescent="0.35">
      <c r="A147" s="72" t="s">
        <v>289</v>
      </c>
      <c r="B147" s="72" t="str">
        <f>VLOOKUP(Tabelle_Abfrage_von_MS_Access_Database3[[#This Row],[LAND]],Texte!$A$4:$C$261,Texte!$A$1+1,FALSE)</f>
        <v>Jamaika</v>
      </c>
      <c r="C147" s="72" t="s">
        <v>508</v>
      </c>
      <c r="D147" s="72" t="s">
        <v>557</v>
      </c>
      <c r="E147" s="73">
        <v>408000</v>
      </c>
      <c r="F147" s="73">
        <v>446000</v>
      </c>
      <c r="G147" s="73">
        <v>447000</v>
      </c>
      <c r="H147" s="73">
        <v>261000</v>
      </c>
      <c r="I147" s="73">
        <v>463000</v>
      </c>
      <c r="J147" s="73">
        <v>416000</v>
      </c>
      <c r="K147" s="73">
        <v>412000</v>
      </c>
      <c r="L147" s="73">
        <v>488000</v>
      </c>
      <c r="M147" s="73">
        <v>375000</v>
      </c>
      <c r="N147" s="73">
        <v>1384000</v>
      </c>
      <c r="O147" s="73">
        <v>472000</v>
      </c>
      <c r="P147" s="73">
        <v>1798000</v>
      </c>
      <c r="Q147" s="73">
        <v>4357000</v>
      </c>
      <c r="R147" s="73">
        <v>4442000</v>
      </c>
      <c r="S147" s="73">
        <v>691000</v>
      </c>
      <c r="T147" s="73">
        <v>450000</v>
      </c>
      <c r="U147" s="73">
        <v>335000</v>
      </c>
      <c r="V147" s="73">
        <v>535238</v>
      </c>
      <c r="W147" s="73">
        <v>400062</v>
      </c>
      <c r="X147" s="73">
        <v>327755</v>
      </c>
      <c r="Y147" s="73">
        <v>606382</v>
      </c>
      <c r="Z147" s="73">
        <v>579493</v>
      </c>
      <c r="AA147" s="73">
        <v>650498</v>
      </c>
      <c r="AB147" s="73">
        <v>604456</v>
      </c>
      <c r="AC147" s="73">
        <v>948671</v>
      </c>
      <c r="AD147" s="73">
        <v>1039973</v>
      </c>
      <c r="AE147" s="73">
        <v>1352865</v>
      </c>
      <c r="AF147" s="73">
        <v>690305</v>
      </c>
      <c r="AG147" s="73">
        <v>753279</v>
      </c>
      <c r="AH147" s="73">
        <v>996316</v>
      </c>
      <c r="AI147" s="73">
        <v>1196712</v>
      </c>
      <c r="AJ147" s="73">
        <v>2381311</v>
      </c>
      <c r="AK147" s="73">
        <v>3348484</v>
      </c>
      <c r="AL147" s="73">
        <v>636386</v>
      </c>
      <c r="AM147" s="73">
        <v>385787</v>
      </c>
      <c r="AN147" s="73">
        <v>256974</v>
      </c>
      <c r="AO147" s="73">
        <v>326919</v>
      </c>
      <c r="AP147" s="73">
        <v>429504</v>
      </c>
      <c r="AQ147" s="73">
        <v>395722</v>
      </c>
      <c r="AR147" s="73">
        <v>475798</v>
      </c>
      <c r="AS147" s="73">
        <v>587098</v>
      </c>
      <c r="AT147" s="73">
        <v>440473</v>
      </c>
      <c r="AU147" s="73">
        <v>541608</v>
      </c>
      <c r="AV147">
        <v>537896</v>
      </c>
      <c r="AW147">
        <v>825817</v>
      </c>
      <c r="AX147">
        <v>773150</v>
      </c>
    </row>
    <row r="148" spans="1:50" ht="14.5" x14ac:dyDescent="0.35">
      <c r="A148" s="72" t="s">
        <v>291</v>
      </c>
      <c r="B148" s="72" t="str">
        <f>VLOOKUP(Tabelle_Abfrage_von_MS_Access_Database3[[#This Row],[LAND]],Texte!$A$4:$C$261,Texte!$A$1+1,FALSE)</f>
        <v>St.Lucia</v>
      </c>
      <c r="C148" s="72" t="s">
        <v>510</v>
      </c>
      <c r="D148" s="72" t="s">
        <v>557</v>
      </c>
      <c r="E148" s="73">
        <v>0</v>
      </c>
      <c r="F148" s="73">
        <v>0</v>
      </c>
      <c r="G148" s="73">
        <v>4000</v>
      </c>
      <c r="H148" s="73">
        <v>1000</v>
      </c>
      <c r="I148" s="73">
        <v>0</v>
      </c>
      <c r="J148" s="73">
        <v>0</v>
      </c>
      <c r="K148" s="73">
        <v>0</v>
      </c>
      <c r="L148" s="73">
        <v>1000</v>
      </c>
      <c r="M148" s="73">
        <v>1000</v>
      </c>
      <c r="N148" s="73">
        <v>74000</v>
      </c>
      <c r="O148" s="73">
        <v>184000</v>
      </c>
      <c r="P148" s="73">
        <v>117000</v>
      </c>
      <c r="Q148" s="73">
        <v>166000</v>
      </c>
      <c r="R148" s="73">
        <v>224000</v>
      </c>
      <c r="S148" s="73">
        <v>387000</v>
      </c>
      <c r="T148" s="73">
        <v>282000</v>
      </c>
      <c r="U148" s="73">
        <v>179000</v>
      </c>
      <c r="V148" s="73">
        <v>172816</v>
      </c>
      <c r="W148" s="73">
        <v>13662</v>
      </c>
      <c r="X148" s="73">
        <v>0</v>
      </c>
      <c r="Y148" s="73">
        <v>0</v>
      </c>
      <c r="Z148" s="73">
        <v>6105</v>
      </c>
      <c r="AA148" s="73">
        <v>28633</v>
      </c>
      <c r="AB148" s="73">
        <v>63710</v>
      </c>
      <c r="AC148" s="73">
        <v>11050</v>
      </c>
      <c r="AD148" s="73">
        <v>3895</v>
      </c>
      <c r="AE148" s="73">
        <v>0</v>
      </c>
      <c r="AF148" s="73">
        <v>0</v>
      </c>
      <c r="AG148" s="73">
        <v>40</v>
      </c>
      <c r="AH148" s="73">
        <v>34</v>
      </c>
      <c r="AI148" s="73">
        <v>125</v>
      </c>
      <c r="AJ148" s="73">
        <v>226</v>
      </c>
      <c r="AK148" s="73">
        <v>215</v>
      </c>
      <c r="AL148" s="73">
        <v>9417</v>
      </c>
      <c r="AM148" s="73">
        <v>418</v>
      </c>
      <c r="AN148" s="73">
        <v>240</v>
      </c>
      <c r="AO148" s="73">
        <v>443</v>
      </c>
      <c r="AP148" s="73">
        <v>2320</v>
      </c>
      <c r="AQ148" s="73">
        <v>3468</v>
      </c>
      <c r="AR148" s="73">
        <v>990</v>
      </c>
      <c r="AS148" s="73">
        <v>1479</v>
      </c>
      <c r="AT148" s="73">
        <v>7794</v>
      </c>
      <c r="AU148" s="73">
        <v>9177</v>
      </c>
      <c r="AV148">
        <v>8053</v>
      </c>
      <c r="AW148">
        <v>65274</v>
      </c>
      <c r="AX148">
        <v>4867</v>
      </c>
    </row>
    <row r="149" spans="1:50" ht="14.5" x14ac:dyDescent="0.35">
      <c r="A149" s="72" t="s">
        <v>565</v>
      </c>
      <c r="B149" s="72" t="str">
        <f>VLOOKUP(Tabelle_Abfrage_von_MS_Access_Database3[[#This Row],[LAND]],Texte!$A$4:$C$261,Texte!$A$1+1,FALSE)</f>
        <v>St. Barthélemy</v>
      </c>
      <c r="C149" s="72" t="s">
        <v>558</v>
      </c>
      <c r="D149" s="72" t="s">
        <v>557</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3">
        <v>490</v>
      </c>
      <c r="AO149" s="73">
        <v>8419</v>
      </c>
      <c r="AP149" s="73">
        <v>65697</v>
      </c>
      <c r="AQ149" s="73">
        <v>4747</v>
      </c>
      <c r="AR149" s="73">
        <v>10477</v>
      </c>
      <c r="AS149" s="73">
        <v>24880</v>
      </c>
      <c r="AT149" s="73">
        <v>924</v>
      </c>
      <c r="AU149" s="73">
        <v>37294</v>
      </c>
      <c r="AV149">
        <v>124</v>
      </c>
      <c r="AW149">
        <v>86198</v>
      </c>
      <c r="AX149">
        <v>57789</v>
      </c>
    </row>
    <row r="150" spans="1:50" ht="14.5" x14ac:dyDescent="0.35">
      <c r="A150" s="72" t="s">
        <v>293</v>
      </c>
      <c r="B150" s="72" t="str">
        <f>VLOOKUP(Tabelle_Abfrage_von_MS_Access_Database3[[#This Row],[LAND]],Texte!$A$4:$C$261,Texte!$A$1+1,FALSE)</f>
        <v>St.Vincent</v>
      </c>
      <c r="C150" s="72" t="s">
        <v>512</v>
      </c>
      <c r="D150" s="72" t="s">
        <v>557</v>
      </c>
      <c r="E150" s="73">
        <v>0</v>
      </c>
      <c r="F150" s="73">
        <v>0</v>
      </c>
      <c r="G150" s="73">
        <v>0</v>
      </c>
      <c r="H150" s="73">
        <v>0</v>
      </c>
      <c r="I150" s="73">
        <v>0</v>
      </c>
      <c r="J150" s="73">
        <v>0</v>
      </c>
      <c r="K150" s="73">
        <v>0</v>
      </c>
      <c r="L150" s="73">
        <v>3000</v>
      </c>
      <c r="M150" s="73">
        <v>1000</v>
      </c>
      <c r="N150" s="73">
        <v>62000</v>
      </c>
      <c r="O150" s="73">
        <v>151000</v>
      </c>
      <c r="P150" s="73">
        <v>189000</v>
      </c>
      <c r="Q150" s="73">
        <v>37000</v>
      </c>
      <c r="R150" s="73">
        <v>5000</v>
      </c>
      <c r="S150" s="73">
        <v>1000</v>
      </c>
      <c r="T150" s="73">
        <v>0</v>
      </c>
      <c r="U150" s="73">
        <v>2000</v>
      </c>
      <c r="V150" s="73">
        <v>5305</v>
      </c>
      <c r="W150" s="73">
        <v>2690</v>
      </c>
      <c r="X150" s="73">
        <v>80518</v>
      </c>
      <c r="Y150" s="73">
        <v>46874</v>
      </c>
      <c r="Z150" s="73">
        <v>2470</v>
      </c>
      <c r="AA150" s="73">
        <v>727</v>
      </c>
      <c r="AB150" s="73">
        <v>10991</v>
      </c>
      <c r="AC150" s="73">
        <v>1284</v>
      </c>
      <c r="AD150" s="73">
        <v>2975</v>
      </c>
      <c r="AE150" s="73">
        <v>11420</v>
      </c>
      <c r="AF150" s="73">
        <v>5631</v>
      </c>
      <c r="AG150" s="73">
        <v>6018</v>
      </c>
      <c r="AH150" s="73">
        <v>31</v>
      </c>
      <c r="AI150" s="73">
        <v>1181</v>
      </c>
      <c r="AJ150" s="73">
        <v>1643</v>
      </c>
      <c r="AK150" s="73">
        <v>1123</v>
      </c>
      <c r="AL150" s="73">
        <v>8196445</v>
      </c>
      <c r="AM150" s="73">
        <v>0</v>
      </c>
      <c r="AN150" s="73">
        <v>0</v>
      </c>
      <c r="AO150" s="73">
        <v>0</v>
      </c>
      <c r="AP150" s="73">
        <v>1629</v>
      </c>
      <c r="AQ150" s="73">
        <v>21571</v>
      </c>
      <c r="AR150" s="73">
        <v>72169</v>
      </c>
      <c r="AS150" s="73">
        <v>7148</v>
      </c>
      <c r="AT150" s="73">
        <v>24489</v>
      </c>
      <c r="AU150" s="73">
        <v>20071</v>
      </c>
      <c r="AV150">
        <v>18883</v>
      </c>
      <c r="AW150">
        <v>65576</v>
      </c>
      <c r="AX150">
        <v>85355</v>
      </c>
    </row>
    <row r="151" spans="1:50" ht="14.5" x14ac:dyDescent="0.35">
      <c r="A151" s="72" t="s">
        <v>295</v>
      </c>
      <c r="B151" s="72" t="str">
        <f>VLOOKUP(Tabelle_Abfrage_von_MS_Access_Database3[[#This Row],[LAND]],Texte!$A$4:$C$261,Texte!$A$1+1,FALSE)</f>
        <v>Britische Jungferinseln</v>
      </c>
      <c r="C151" s="72" t="s">
        <v>525</v>
      </c>
      <c r="D151" s="72" t="s">
        <v>557</v>
      </c>
      <c r="E151" s="73">
        <v>0</v>
      </c>
      <c r="F151" s="73">
        <v>0</v>
      </c>
      <c r="G151" s="73">
        <v>0</v>
      </c>
      <c r="H151" s="73">
        <v>0</v>
      </c>
      <c r="I151" s="73">
        <v>0</v>
      </c>
      <c r="J151" s="73">
        <v>0</v>
      </c>
      <c r="K151" s="73">
        <v>0</v>
      </c>
      <c r="L151" s="73">
        <v>0</v>
      </c>
      <c r="M151" s="73">
        <v>0</v>
      </c>
      <c r="N151" s="73">
        <v>0</v>
      </c>
      <c r="O151" s="73">
        <v>0</v>
      </c>
      <c r="P151" s="73">
        <v>0</v>
      </c>
      <c r="Q151" s="73">
        <v>0</v>
      </c>
      <c r="R151" s="73">
        <v>0</v>
      </c>
      <c r="S151" s="73">
        <v>0</v>
      </c>
      <c r="T151" s="73">
        <v>0</v>
      </c>
      <c r="U151" s="73">
        <v>0</v>
      </c>
      <c r="V151" s="73">
        <v>71729</v>
      </c>
      <c r="W151" s="73">
        <v>26889</v>
      </c>
      <c r="X151" s="73">
        <v>43241</v>
      </c>
      <c r="Y151" s="73">
        <v>1163</v>
      </c>
      <c r="Z151" s="73">
        <v>0</v>
      </c>
      <c r="AA151" s="73">
        <v>276591</v>
      </c>
      <c r="AB151" s="73">
        <v>1414</v>
      </c>
      <c r="AC151" s="73">
        <v>4051</v>
      </c>
      <c r="AD151" s="73">
        <v>19345</v>
      </c>
      <c r="AE151" s="73">
        <v>4982</v>
      </c>
      <c r="AF151" s="73">
        <v>27482291</v>
      </c>
      <c r="AG151" s="73">
        <v>95812</v>
      </c>
      <c r="AH151" s="73">
        <v>582871</v>
      </c>
      <c r="AI151" s="73">
        <v>133801</v>
      </c>
      <c r="AJ151" s="73">
        <v>21561</v>
      </c>
      <c r="AK151" s="73">
        <v>33607910</v>
      </c>
      <c r="AL151" s="73">
        <v>33760</v>
      </c>
      <c r="AM151" s="73">
        <v>27442</v>
      </c>
      <c r="AN151" s="73">
        <v>44625</v>
      </c>
      <c r="AO151" s="73">
        <v>167008</v>
      </c>
      <c r="AP151" s="73">
        <v>62799</v>
      </c>
      <c r="AQ151" s="73">
        <v>8209448</v>
      </c>
      <c r="AR151" s="73">
        <v>116679</v>
      </c>
      <c r="AS151" s="73">
        <v>25342</v>
      </c>
      <c r="AT151" s="73">
        <v>32160</v>
      </c>
      <c r="AU151" s="73">
        <v>107475</v>
      </c>
      <c r="AV151">
        <v>53436715</v>
      </c>
      <c r="AW151">
        <v>231593</v>
      </c>
      <c r="AX151">
        <v>614386</v>
      </c>
    </row>
    <row r="152" spans="1:50" ht="14.5" x14ac:dyDescent="0.35">
      <c r="A152" s="72" t="s">
        <v>297</v>
      </c>
      <c r="B152" s="72" t="str">
        <f>VLOOKUP(Tabelle_Abfrage_von_MS_Access_Database3[[#This Row],[LAND]],Texte!$A$4:$C$261,Texte!$A$1+1,FALSE)</f>
        <v>Barbados</v>
      </c>
      <c r="C152" s="72" t="s">
        <v>508</v>
      </c>
      <c r="D152" s="72" t="s">
        <v>557</v>
      </c>
      <c r="E152" s="73">
        <v>0</v>
      </c>
      <c r="F152" s="73">
        <v>12000</v>
      </c>
      <c r="G152" s="73">
        <v>98000</v>
      </c>
      <c r="H152" s="73">
        <v>205000</v>
      </c>
      <c r="I152" s="73">
        <v>195000</v>
      </c>
      <c r="J152" s="73">
        <v>70000</v>
      </c>
      <c r="K152" s="73">
        <v>214000</v>
      </c>
      <c r="L152" s="73">
        <v>510000</v>
      </c>
      <c r="M152" s="73">
        <v>391000</v>
      </c>
      <c r="N152" s="73">
        <v>296000</v>
      </c>
      <c r="O152" s="73">
        <v>19000</v>
      </c>
      <c r="P152" s="73">
        <v>22000</v>
      </c>
      <c r="Q152" s="73">
        <v>17000</v>
      </c>
      <c r="R152" s="73">
        <v>19000</v>
      </c>
      <c r="S152" s="73">
        <v>23000</v>
      </c>
      <c r="T152" s="73">
        <v>62000</v>
      </c>
      <c r="U152" s="73">
        <v>11000</v>
      </c>
      <c r="V152" s="73">
        <v>189529</v>
      </c>
      <c r="W152" s="73">
        <v>355006</v>
      </c>
      <c r="X152" s="73">
        <v>166638</v>
      </c>
      <c r="Y152" s="73">
        <v>3672451</v>
      </c>
      <c r="Z152" s="73">
        <v>236841</v>
      </c>
      <c r="AA152" s="73">
        <v>921206</v>
      </c>
      <c r="AB152" s="73">
        <v>1073661</v>
      </c>
      <c r="AC152" s="73">
        <v>50839</v>
      </c>
      <c r="AD152" s="73">
        <v>57030</v>
      </c>
      <c r="AE152" s="73">
        <v>50838</v>
      </c>
      <c r="AF152" s="73">
        <v>77130</v>
      </c>
      <c r="AG152" s="73">
        <v>65284</v>
      </c>
      <c r="AH152" s="73">
        <v>102945</v>
      </c>
      <c r="AI152" s="73">
        <v>444511</v>
      </c>
      <c r="AJ152" s="73">
        <v>158678</v>
      </c>
      <c r="AK152" s="73">
        <v>970809</v>
      </c>
      <c r="AL152" s="73">
        <v>280413</v>
      </c>
      <c r="AM152" s="73">
        <v>1288086</v>
      </c>
      <c r="AN152" s="73">
        <v>944569</v>
      </c>
      <c r="AO152" s="73">
        <v>193112</v>
      </c>
      <c r="AP152" s="73">
        <v>292916</v>
      </c>
      <c r="AQ152" s="73">
        <v>235523</v>
      </c>
      <c r="AR152" s="73">
        <v>558404</v>
      </c>
      <c r="AS152" s="73">
        <v>491933</v>
      </c>
      <c r="AT152" s="73">
        <v>618295</v>
      </c>
      <c r="AU152" s="73">
        <v>1083751</v>
      </c>
      <c r="AV152">
        <v>1894430</v>
      </c>
      <c r="AW152">
        <v>4129449</v>
      </c>
      <c r="AX152">
        <v>4603687</v>
      </c>
    </row>
    <row r="153" spans="1:50" ht="14.5" x14ac:dyDescent="0.35">
      <c r="A153" s="72" t="s">
        <v>299</v>
      </c>
      <c r="B153" s="72" t="str">
        <f>VLOOKUP(Tabelle_Abfrage_von_MS_Access_Database3[[#This Row],[LAND]],Texte!$A$4:$C$261,Texte!$A$1+1,FALSE)</f>
        <v>Montserrat</v>
      </c>
      <c r="C153" s="72" t="s">
        <v>525</v>
      </c>
      <c r="D153" s="72" t="s">
        <v>557</v>
      </c>
      <c r="E153" s="73">
        <v>0</v>
      </c>
      <c r="F153" s="73">
        <v>0</v>
      </c>
      <c r="G153" s="73">
        <v>0</v>
      </c>
      <c r="H153" s="73">
        <v>0</v>
      </c>
      <c r="I153" s="73">
        <v>0</v>
      </c>
      <c r="J153" s="73">
        <v>0</v>
      </c>
      <c r="K153" s="73">
        <v>0</v>
      </c>
      <c r="L153" s="73">
        <v>0</v>
      </c>
      <c r="M153" s="73">
        <v>0</v>
      </c>
      <c r="N153" s="73">
        <v>0</v>
      </c>
      <c r="O153" s="73">
        <v>0</v>
      </c>
      <c r="P153" s="73">
        <v>0</v>
      </c>
      <c r="Q153" s="73">
        <v>0</v>
      </c>
      <c r="R153" s="73">
        <v>0</v>
      </c>
      <c r="S153" s="73">
        <v>0</v>
      </c>
      <c r="T153" s="73">
        <v>0</v>
      </c>
      <c r="U153" s="73">
        <v>0</v>
      </c>
      <c r="V153" s="73">
        <v>30159</v>
      </c>
      <c r="W153" s="73">
        <v>19985</v>
      </c>
      <c r="X153" s="73">
        <v>3342</v>
      </c>
      <c r="Y153" s="73">
        <v>3633</v>
      </c>
      <c r="Z153" s="73">
        <v>12354</v>
      </c>
      <c r="AA153" s="73">
        <v>24055</v>
      </c>
      <c r="AB153" s="73">
        <v>2952</v>
      </c>
      <c r="AC153" s="73">
        <v>3513</v>
      </c>
      <c r="AD153" s="73">
        <v>1145</v>
      </c>
      <c r="AE153" s="73">
        <v>2529</v>
      </c>
      <c r="AF153" s="73">
        <v>1468</v>
      </c>
      <c r="AG153" s="73">
        <v>46649</v>
      </c>
      <c r="AH153" s="73">
        <v>72314</v>
      </c>
      <c r="AI153" s="73">
        <v>51941</v>
      </c>
      <c r="AJ153" s="73">
        <v>2130</v>
      </c>
      <c r="AK153" s="73">
        <v>238</v>
      </c>
      <c r="AL153" s="73">
        <v>7782</v>
      </c>
      <c r="AM153" s="73">
        <v>141</v>
      </c>
      <c r="AN153" s="73">
        <v>21914</v>
      </c>
      <c r="AO153" s="73">
        <v>6003</v>
      </c>
      <c r="AP153" s="73">
        <v>8400</v>
      </c>
      <c r="AQ153" s="73">
        <v>2930</v>
      </c>
      <c r="AR153" s="73">
        <v>366</v>
      </c>
      <c r="AS153" s="73">
        <v>8055</v>
      </c>
      <c r="AT153" s="73">
        <v>3673</v>
      </c>
      <c r="AU153" s="73">
        <v>207</v>
      </c>
      <c r="AV153">
        <v>10686</v>
      </c>
      <c r="AW153">
        <v>18170</v>
      </c>
      <c r="AX153">
        <v>26510</v>
      </c>
    </row>
    <row r="154" spans="1:50" ht="14.5" x14ac:dyDescent="0.35">
      <c r="A154" s="72" t="s">
        <v>301</v>
      </c>
      <c r="B154" s="72" t="str">
        <f>VLOOKUP(Tabelle_Abfrage_von_MS_Access_Database3[[#This Row],[LAND]],Texte!$A$4:$C$261,Texte!$A$1+1,FALSE)</f>
        <v>Trinidad und Tobago</v>
      </c>
      <c r="C154" s="72" t="s">
        <v>508</v>
      </c>
      <c r="D154" s="72" t="s">
        <v>557</v>
      </c>
      <c r="E154" s="73">
        <v>310000</v>
      </c>
      <c r="F154" s="73">
        <v>513000</v>
      </c>
      <c r="G154" s="73">
        <v>896000</v>
      </c>
      <c r="H154" s="73">
        <v>649000</v>
      </c>
      <c r="I154" s="73">
        <v>666000</v>
      </c>
      <c r="J154" s="73">
        <v>938000</v>
      </c>
      <c r="K154" s="73">
        <v>2049000</v>
      </c>
      <c r="L154" s="73">
        <v>1780000</v>
      </c>
      <c r="M154" s="73">
        <v>1158000</v>
      </c>
      <c r="N154" s="73">
        <v>844000</v>
      </c>
      <c r="O154" s="73">
        <v>939000</v>
      </c>
      <c r="P154" s="73">
        <v>807000</v>
      </c>
      <c r="Q154" s="73">
        <v>523000</v>
      </c>
      <c r="R154" s="73">
        <v>664000</v>
      </c>
      <c r="S154" s="73">
        <v>835000</v>
      </c>
      <c r="T154" s="73">
        <v>128000</v>
      </c>
      <c r="U154" s="73">
        <v>156000</v>
      </c>
      <c r="V154" s="73">
        <v>327535</v>
      </c>
      <c r="W154" s="73">
        <v>288729</v>
      </c>
      <c r="X154" s="73">
        <v>61917</v>
      </c>
      <c r="Y154" s="73">
        <v>4297728</v>
      </c>
      <c r="Z154" s="73">
        <v>631017</v>
      </c>
      <c r="AA154" s="73">
        <v>2462085</v>
      </c>
      <c r="AB154" s="73">
        <v>2463877</v>
      </c>
      <c r="AC154" s="73">
        <v>606269</v>
      </c>
      <c r="AD154" s="73">
        <v>58059</v>
      </c>
      <c r="AE154" s="73">
        <v>49463</v>
      </c>
      <c r="AF154" s="73">
        <v>206762</v>
      </c>
      <c r="AG154" s="73">
        <v>469810</v>
      </c>
      <c r="AH154" s="73">
        <v>335723</v>
      </c>
      <c r="AI154" s="73">
        <v>321003</v>
      </c>
      <c r="AJ154" s="73">
        <v>48652</v>
      </c>
      <c r="AK154" s="73">
        <v>1528833</v>
      </c>
      <c r="AL154" s="73">
        <v>85556</v>
      </c>
      <c r="AM154" s="73">
        <v>130846</v>
      </c>
      <c r="AN154" s="73">
        <v>8027</v>
      </c>
      <c r="AO154" s="73">
        <v>521861</v>
      </c>
      <c r="AP154" s="73">
        <v>378463</v>
      </c>
      <c r="AQ154" s="73">
        <v>649199</v>
      </c>
      <c r="AR154" s="73">
        <v>356381</v>
      </c>
      <c r="AS154" s="73">
        <v>799758</v>
      </c>
      <c r="AT154" s="73">
        <v>340762</v>
      </c>
      <c r="AU154" s="73">
        <v>2817177</v>
      </c>
      <c r="AV154">
        <v>3418333</v>
      </c>
      <c r="AW154">
        <v>872629</v>
      </c>
      <c r="AX154">
        <v>756521</v>
      </c>
    </row>
    <row r="155" spans="1:50" ht="14.5" x14ac:dyDescent="0.35">
      <c r="A155" s="72" t="s">
        <v>303</v>
      </c>
      <c r="B155" s="72" t="str">
        <f>VLOOKUP(Tabelle_Abfrage_von_MS_Access_Database3[[#This Row],[LAND]],Texte!$A$4:$C$261,Texte!$A$1+1,FALSE)</f>
        <v>Grenada</v>
      </c>
      <c r="C155" s="72" t="s">
        <v>512</v>
      </c>
      <c r="D155" s="72" t="s">
        <v>557</v>
      </c>
      <c r="E155" s="73">
        <v>0</v>
      </c>
      <c r="F155" s="73">
        <v>0</v>
      </c>
      <c r="G155" s="73">
        <v>0</v>
      </c>
      <c r="H155" s="73">
        <v>0</v>
      </c>
      <c r="I155" s="73">
        <v>18000</v>
      </c>
      <c r="J155" s="73">
        <v>54000</v>
      </c>
      <c r="K155" s="73">
        <v>33000</v>
      </c>
      <c r="L155" s="73">
        <v>119000</v>
      </c>
      <c r="M155" s="73">
        <v>94000</v>
      </c>
      <c r="N155" s="73">
        <v>190000</v>
      </c>
      <c r="O155" s="73">
        <v>75000</v>
      </c>
      <c r="P155" s="73">
        <v>73000</v>
      </c>
      <c r="Q155" s="73">
        <v>30000</v>
      </c>
      <c r="R155" s="73">
        <v>31000</v>
      </c>
      <c r="S155" s="73">
        <v>13000</v>
      </c>
      <c r="T155" s="73">
        <v>23000</v>
      </c>
      <c r="U155" s="73">
        <v>38000</v>
      </c>
      <c r="V155" s="73">
        <v>16425</v>
      </c>
      <c r="W155" s="73">
        <v>11991</v>
      </c>
      <c r="X155" s="73">
        <v>42732</v>
      </c>
      <c r="Y155" s="73">
        <v>101451</v>
      </c>
      <c r="Z155" s="73">
        <v>178992</v>
      </c>
      <c r="AA155" s="73">
        <v>326300</v>
      </c>
      <c r="AB155" s="73">
        <v>174675</v>
      </c>
      <c r="AC155" s="73">
        <v>81979</v>
      </c>
      <c r="AD155" s="73">
        <v>199546</v>
      </c>
      <c r="AE155" s="73">
        <v>288716</v>
      </c>
      <c r="AF155" s="73">
        <v>661629</v>
      </c>
      <c r="AG155" s="73">
        <v>445009</v>
      </c>
      <c r="AH155" s="73">
        <v>634729</v>
      </c>
      <c r="AI155" s="73">
        <v>465771</v>
      </c>
      <c r="AJ155" s="73">
        <v>483732</v>
      </c>
      <c r="AK155" s="73">
        <v>562686</v>
      </c>
      <c r="AL155" s="73">
        <v>1113538</v>
      </c>
      <c r="AM155" s="73">
        <v>1281635</v>
      </c>
      <c r="AN155" s="73">
        <v>1159130</v>
      </c>
      <c r="AO155" s="73">
        <v>711952</v>
      </c>
      <c r="AP155" s="73">
        <v>637388</v>
      </c>
      <c r="AQ155" s="73">
        <v>358810</v>
      </c>
      <c r="AR155" s="73">
        <v>688227</v>
      </c>
      <c r="AS155" s="73">
        <v>468503</v>
      </c>
      <c r="AT155" s="73">
        <v>515790</v>
      </c>
      <c r="AU155" s="73">
        <v>404874</v>
      </c>
      <c r="AV155">
        <v>224700</v>
      </c>
      <c r="AW155">
        <v>407511</v>
      </c>
      <c r="AX155">
        <v>477467</v>
      </c>
    </row>
    <row r="156" spans="1:50" ht="14.5" x14ac:dyDescent="0.35">
      <c r="A156" s="72" t="s">
        <v>305</v>
      </c>
      <c r="B156" s="72" t="str">
        <f>VLOOKUP(Tabelle_Abfrage_von_MS_Access_Database3[[#This Row],[LAND]],Texte!$A$4:$C$261,Texte!$A$1+1,FALSE)</f>
        <v>Aruba</v>
      </c>
      <c r="C156" s="72" t="s">
        <v>525</v>
      </c>
      <c r="D156" s="72" t="s">
        <v>557</v>
      </c>
      <c r="E156" s="73">
        <v>0</v>
      </c>
      <c r="F156" s="73">
        <v>0</v>
      </c>
      <c r="G156" s="73">
        <v>0</v>
      </c>
      <c r="H156" s="73">
        <v>0</v>
      </c>
      <c r="I156" s="73">
        <v>0</v>
      </c>
      <c r="J156" s="73">
        <v>0</v>
      </c>
      <c r="K156" s="73">
        <v>0</v>
      </c>
      <c r="L156" s="73">
        <v>0</v>
      </c>
      <c r="M156" s="73">
        <v>0</v>
      </c>
      <c r="N156" s="73">
        <v>0</v>
      </c>
      <c r="O156" s="73">
        <v>0</v>
      </c>
      <c r="P156" s="73">
        <v>0</v>
      </c>
      <c r="Q156" s="73">
        <v>0</v>
      </c>
      <c r="R156" s="73">
        <v>0</v>
      </c>
      <c r="S156" s="73">
        <v>0</v>
      </c>
      <c r="T156" s="73">
        <v>0</v>
      </c>
      <c r="U156" s="73">
        <v>0</v>
      </c>
      <c r="V156" s="73">
        <v>0</v>
      </c>
      <c r="W156" s="73">
        <v>5668</v>
      </c>
      <c r="X156" s="73">
        <v>436</v>
      </c>
      <c r="Y156" s="73">
        <v>2907</v>
      </c>
      <c r="Z156" s="73">
        <v>1695385</v>
      </c>
      <c r="AA156" s="73">
        <v>566266</v>
      </c>
      <c r="AB156" s="73">
        <v>96450</v>
      </c>
      <c r="AC156" s="73">
        <v>57622</v>
      </c>
      <c r="AD156" s="73">
        <v>350</v>
      </c>
      <c r="AE156" s="73">
        <v>2033</v>
      </c>
      <c r="AF156" s="73">
        <v>6528285</v>
      </c>
      <c r="AG156" s="73">
        <v>250</v>
      </c>
      <c r="AH156" s="73">
        <v>17603</v>
      </c>
      <c r="AI156" s="73">
        <v>130122</v>
      </c>
      <c r="AJ156" s="73">
        <v>374529</v>
      </c>
      <c r="AK156" s="73">
        <v>384</v>
      </c>
      <c r="AL156" s="73">
        <v>44342</v>
      </c>
      <c r="AM156" s="73">
        <v>0</v>
      </c>
      <c r="AN156" s="73">
        <v>2038</v>
      </c>
      <c r="AO156" s="73">
        <v>5584</v>
      </c>
      <c r="AP156" s="73">
        <v>2429</v>
      </c>
      <c r="AQ156" s="73">
        <v>63276</v>
      </c>
      <c r="AR156" s="73">
        <v>96855</v>
      </c>
      <c r="AS156" s="73">
        <v>7754</v>
      </c>
      <c r="AT156" s="73">
        <v>157064</v>
      </c>
      <c r="AU156" s="73">
        <v>6919</v>
      </c>
      <c r="AV156">
        <v>65660</v>
      </c>
      <c r="AW156">
        <v>1149331</v>
      </c>
      <c r="AX156">
        <v>25408</v>
      </c>
    </row>
    <row r="157" spans="1:50" ht="14.5" x14ac:dyDescent="0.35">
      <c r="A157" s="72" t="s">
        <v>567</v>
      </c>
      <c r="B157" s="72" t="str">
        <f>VLOOKUP(Tabelle_Abfrage_von_MS_Access_Database3[[#This Row],[LAND]],Texte!$A$4:$C$261,Texte!$A$1+1,FALSE)</f>
        <v>Curacao</v>
      </c>
      <c r="C157" s="72" t="s">
        <v>558</v>
      </c>
      <c r="D157" s="72" t="s">
        <v>557</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3">
        <v>633648</v>
      </c>
      <c r="AO157" s="73">
        <v>667675</v>
      </c>
      <c r="AP157" s="73">
        <v>132316</v>
      </c>
      <c r="AQ157" s="73">
        <v>7777</v>
      </c>
      <c r="AR157" s="73">
        <v>22302</v>
      </c>
      <c r="AS157" s="73">
        <v>31283</v>
      </c>
      <c r="AT157" s="73">
        <v>355</v>
      </c>
      <c r="AU157" s="73">
        <v>241</v>
      </c>
      <c r="AV157">
        <v>343</v>
      </c>
      <c r="AW157">
        <v>1465</v>
      </c>
      <c r="AX157">
        <v>4385</v>
      </c>
    </row>
    <row r="158" spans="1:50" ht="14.5" x14ac:dyDescent="0.35">
      <c r="A158" s="72" t="s">
        <v>569</v>
      </c>
      <c r="B158" s="72" t="str">
        <f>VLOOKUP(Tabelle_Abfrage_von_MS_Access_Database3[[#This Row],[LAND]],Texte!$A$4:$C$261,Texte!$A$1+1,FALSE)</f>
        <v>Bonaire, St.Eust.u.Saba</v>
      </c>
      <c r="C158" s="72" t="s">
        <v>558</v>
      </c>
      <c r="D158" s="72" t="s">
        <v>557</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3">
        <v>0</v>
      </c>
      <c r="AO158" s="73">
        <v>0</v>
      </c>
      <c r="AP158" s="73">
        <v>182</v>
      </c>
      <c r="AQ158" s="73">
        <v>0</v>
      </c>
      <c r="AR158" s="73">
        <v>0</v>
      </c>
      <c r="AS158" s="73">
        <v>3423</v>
      </c>
      <c r="AT158" s="73">
        <v>0</v>
      </c>
      <c r="AU158" s="73">
        <v>43</v>
      </c>
      <c r="AV158">
        <v>0</v>
      </c>
      <c r="AW158">
        <v>195</v>
      </c>
      <c r="AX158">
        <v>0</v>
      </c>
    </row>
    <row r="159" spans="1:50" ht="14.5" x14ac:dyDescent="0.35">
      <c r="A159" s="72" t="s">
        <v>307</v>
      </c>
      <c r="B159" s="72" t="str">
        <f>VLOOKUP(Tabelle_Abfrage_von_MS_Access_Database3[[#This Row],[LAND]],Texte!$A$4:$C$261,Texte!$A$1+1,FALSE)</f>
        <v>Niederländische Antillen</v>
      </c>
      <c r="C159" s="72" t="s">
        <v>508</v>
      </c>
      <c r="D159" s="72" t="s">
        <v>542</v>
      </c>
      <c r="E159" s="73">
        <v>348000</v>
      </c>
      <c r="F159" s="73">
        <v>441000</v>
      </c>
      <c r="G159" s="73">
        <v>544000</v>
      </c>
      <c r="H159" s="73">
        <v>615000</v>
      </c>
      <c r="I159" s="73">
        <v>302000</v>
      </c>
      <c r="J159" s="73">
        <v>696000</v>
      </c>
      <c r="K159" s="73">
        <v>738000</v>
      </c>
      <c r="L159" s="73">
        <v>10736000</v>
      </c>
      <c r="M159" s="73">
        <v>116000</v>
      </c>
      <c r="N159" s="73">
        <v>133000</v>
      </c>
      <c r="O159" s="73">
        <v>40000</v>
      </c>
      <c r="P159" s="73">
        <v>257000</v>
      </c>
      <c r="Q159" s="73">
        <v>49000</v>
      </c>
      <c r="R159" s="73">
        <v>47000</v>
      </c>
      <c r="S159" s="73">
        <v>113000</v>
      </c>
      <c r="T159" s="73">
        <v>30000</v>
      </c>
      <c r="U159" s="73">
        <v>224000</v>
      </c>
      <c r="V159" s="73">
        <v>13444</v>
      </c>
      <c r="W159" s="73">
        <v>524843</v>
      </c>
      <c r="X159" s="73">
        <v>437128</v>
      </c>
      <c r="Y159" s="73">
        <v>108646</v>
      </c>
      <c r="Z159" s="73">
        <v>48328</v>
      </c>
      <c r="AA159" s="73">
        <v>119111</v>
      </c>
      <c r="AB159" s="73">
        <v>77914</v>
      </c>
      <c r="AC159" s="73">
        <v>46457</v>
      </c>
      <c r="AD159" s="73">
        <v>267572</v>
      </c>
      <c r="AE159" s="73">
        <v>635289</v>
      </c>
      <c r="AF159" s="73">
        <v>2318608</v>
      </c>
      <c r="AG159" s="73">
        <v>829539</v>
      </c>
      <c r="AH159" s="73">
        <v>1383242</v>
      </c>
      <c r="AI159" s="73">
        <v>770287</v>
      </c>
      <c r="AJ159" s="73">
        <v>1483015</v>
      </c>
      <c r="AK159" s="73">
        <v>2819566</v>
      </c>
      <c r="AL159" s="73">
        <v>2436104</v>
      </c>
      <c r="AM159" s="73">
        <v>3928231</v>
      </c>
      <c r="AN159" s="74"/>
      <c r="AO159" s="74"/>
      <c r="AP159" s="74"/>
      <c r="AQ159" s="74"/>
      <c r="AR159" s="74"/>
      <c r="AS159" s="74"/>
      <c r="AT159" s="74"/>
      <c r="AU159" s="74"/>
    </row>
    <row r="160" spans="1:50" ht="14.5" x14ac:dyDescent="0.35">
      <c r="A160" s="72" t="s">
        <v>571</v>
      </c>
      <c r="B160" s="72" t="str">
        <f>VLOOKUP(Tabelle_Abfrage_von_MS_Access_Database3[[#This Row],[LAND]],Texte!$A$4:$C$261,Texte!$A$1+1,FALSE)</f>
        <v>St. Martin (niederl.Teil)</v>
      </c>
      <c r="C160" s="72" t="s">
        <v>558</v>
      </c>
      <c r="D160" s="72" t="s">
        <v>557</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3">
        <v>47026</v>
      </c>
      <c r="AO160" s="73">
        <v>19946</v>
      </c>
      <c r="AP160" s="73">
        <v>27812</v>
      </c>
      <c r="AQ160" s="73">
        <v>33594</v>
      </c>
      <c r="AR160" s="73">
        <v>52526</v>
      </c>
      <c r="AS160" s="73">
        <v>599328</v>
      </c>
      <c r="AT160" s="73">
        <v>41703</v>
      </c>
      <c r="AU160" s="73">
        <v>235879</v>
      </c>
      <c r="AV160">
        <v>22492</v>
      </c>
      <c r="AW160">
        <v>13081</v>
      </c>
      <c r="AX160">
        <v>34346</v>
      </c>
    </row>
    <row r="161" spans="1:50" ht="14.5" x14ac:dyDescent="0.35">
      <c r="A161" s="72" t="s">
        <v>309</v>
      </c>
      <c r="B161" s="72" t="str">
        <f>VLOOKUP(Tabelle_Abfrage_von_MS_Access_Database3[[#This Row],[LAND]],Texte!$A$4:$C$261,Texte!$A$1+1,FALSE)</f>
        <v>Kolumbien</v>
      </c>
      <c r="C161" s="72" t="s">
        <v>508</v>
      </c>
      <c r="D161" s="72" t="s">
        <v>557</v>
      </c>
      <c r="E161" s="73">
        <v>30533000</v>
      </c>
      <c r="F161" s="73">
        <v>34004000</v>
      </c>
      <c r="G161" s="73">
        <v>39097000</v>
      </c>
      <c r="H161" s="73">
        <v>38818000</v>
      </c>
      <c r="I161" s="73">
        <v>34722000</v>
      </c>
      <c r="J161" s="73">
        <v>34915000</v>
      </c>
      <c r="K161" s="73">
        <v>41996000</v>
      </c>
      <c r="L161" s="73">
        <v>42745000</v>
      </c>
      <c r="M161" s="73">
        <v>72871000</v>
      </c>
      <c r="N161" s="73">
        <v>35357000</v>
      </c>
      <c r="O161" s="73">
        <v>30013000</v>
      </c>
      <c r="P161" s="73">
        <v>33565000</v>
      </c>
      <c r="Q161" s="73">
        <v>37610000</v>
      </c>
      <c r="R161" s="73">
        <v>39348000</v>
      </c>
      <c r="S161" s="73">
        <v>32844000</v>
      </c>
      <c r="T161" s="73">
        <v>33666000</v>
      </c>
      <c r="U161" s="73">
        <v>39886000</v>
      </c>
      <c r="V161" s="73">
        <v>29970931</v>
      </c>
      <c r="W161" s="73">
        <v>28331285</v>
      </c>
      <c r="X161" s="73">
        <v>47302311</v>
      </c>
      <c r="Y161" s="73">
        <v>61164151</v>
      </c>
      <c r="Z161" s="73">
        <v>20414453</v>
      </c>
      <c r="AA161" s="73">
        <v>21927800</v>
      </c>
      <c r="AB161" s="73">
        <v>21420396</v>
      </c>
      <c r="AC161" s="73">
        <v>24482348</v>
      </c>
      <c r="AD161" s="73">
        <v>16069589</v>
      </c>
      <c r="AE161" s="73">
        <v>14067891</v>
      </c>
      <c r="AF161" s="73">
        <v>16133287</v>
      </c>
      <c r="AG161" s="73">
        <v>22838612</v>
      </c>
      <c r="AH161" s="73">
        <v>22292992</v>
      </c>
      <c r="AI161" s="73">
        <v>20574585</v>
      </c>
      <c r="AJ161" s="73">
        <v>16154500</v>
      </c>
      <c r="AK161" s="73">
        <v>19313093</v>
      </c>
      <c r="AL161" s="73">
        <v>22930106</v>
      </c>
      <c r="AM161" s="73">
        <v>19132835</v>
      </c>
      <c r="AN161" s="73">
        <v>25790826</v>
      </c>
      <c r="AO161" s="73">
        <v>28477477</v>
      </c>
      <c r="AP161" s="73">
        <v>30816856</v>
      </c>
      <c r="AQ161" s="73">
        <v>38285386</v>
      </c>
      <c r="AR161" s="73">
        <v>36172669</v>
      </c>
      <c r="AS161" s="73">
        <v>50830704</v>
      </c>
      <c r="AT161" s="73">
        <v>45950084</v>
      </c>
      <c r="AU161" s="73">
        <v>38186475</v>
      </c>
      <c r="AV161">
        <v>38228912</v>
      </c>
      <c r="AW161">
        <v>51564609</v>
      </c>
      <c r="AX161">
        <v>124556345</v>
      </c>
    </row>
    <row r="162" spans="1:50" ht="14.5" x14ac:dyDescent="0.35">
      <c r="A162" s="72" t="s">
        <v>311</v>
      </c>
      <c r="B162" s="72" t="str">
        <f>VLOOKUP(Tabelle_Abfrage_von_MS_Access_Database3[[#This Row],[LAND]],Texte!$A$4:$C$261,Texte!$A$1+1,FALSE)</f>
        <v>Venezuela</v>
      </c>
      <c r="C162" s="72" t="s">
        <v>508</v>
      </c>
      <c r="D162" s="72" t="s">
        <v>557</v>
      </c>
      <c r="E162" s="73">
        <v>326000</v>
      </c>
      <c r="F162" s="73">
        <v>4970000</v>
      </c>
      <c r="G162" s="73">
        <v>35512000</v>
      </c>
      <c r="H162" s="73">
        <v>215000</v>
      </c>
      <c r="I162" s="73">
        <v>286000</v>
      </c>
      <c r="J162" s="73">
        <v>7287000</v>
      </c>
      <c r="K162" s="73">
        <v>29246000</v>
      </c>
      <c r="L162" s="73">
        <v>91552000</v>
      </c>
      <c r="M162" s="73">
        <v>19438000</v>
      </c>
      <c r="N162" s="73">
        <v>1232000</v>
      </c>
      <c r="O162" s="73">
        <v>1579000</v>
      </c>
      <c r="P162" s="73">
        <v>4753000</v>
      </c>
      <c r="Q162" s="73">
        <v>6254000</v>
      </c>
      <c r="R162" s="73">
        <v>3903000</v>
      </c>
      <c r="S162" s="73">
        <v>4768000</v>
      </c>
      <c r="T162" s="73">
        <v>3376000</v>
      </c>
      <c r="U162" s="73">
        <v>4810000</v>
      </c>
      <c r="V162" s="73">
        <v>3595777</v>
      </c>
      <c r="W162" s="73">
        <v>1242635</v>
      </c>
      <c r="X162" s="73">
        <v>3608204</v>
      </c>
      <c r="Y162" s="73">
        <v>2359900</v>
      </c>
      <c r="Z162" s="73">
        <v>1448078</v>
      </c>
      <c r="AA162" s="73">
        <v>1185725</v>
      </c>
      <c r="AB162" s="73">
        <v>661742</v>
      </c>
      <c r="AC162" s="73">
        <v>1444557</v>
      </c>
      <c r="AD162" s="73">
        <v>2924061</v>
      </c>
      <c r="AE162" s="73">
        <v>1661901</v>
      </c>
      <c r="AF162" s="73">
        <v>1298051</v>
      </c>
      <c r="AG162" s="73">
        <v>2788594</v>
      </c>
      <c r="AH162" s="73">
        <v>70618152</v>
      </c>
      <c r="AI162" s="73">
        <v>318778867</v>
      </c>
      <c r="AJ162" s="73">
        <v>51169978</v>
      </c>
      <c r="AK162" s="73">
        <v>5643789</v>
      </c>
      <c r="AL162" s="73">
        <v>16016480</v>
      </c>
      <c r="AM162" s="73">
        <v>2159236</v>
      </c>
      <c r="AN162" s="73">
        <v>720961</v>
      </c>
      <c r="AO162" s="73">
        <v>3722293</v>
      </c>
      <c r="AP162" s="73">
        <v>632735</v>
      </c>
      <c r="AQ162" s="73">
        <v>912207</v>
      </c>
      <c r="AR162" s="73">
        <v>1784996</v>
      </c>
      <c r="AS162" s="73">
        <v>584986</v>
      </c>
      <c r="AT162" s="73">
        <v>973783</v>
      </c>
      <c r="AU162" s="73">
        <v>947040</v>
      </c>
      <c r="AV162">
        <v>844117</v>
      </c>
      <c r="AW162">
        <v>6450969</v>
      </c>
      <c r="AX162">
        <v>2221544</v>
      </c>
    </row>
    <row r="163" spans="1:50" ht="14.5" x14ac:dyDescent="0.35">
      <c r="A163" s="72" t="s">
        <v>313</v>
      </c>
      <c r="B163" s="72" t="str">
        <f>VLOOKUP(Tabelle_Abfrage_von_MS_Access_Database3[[#This Row],[LAND]],Texte!$A$4:$C$261,Texte!$A$1+1,FALSE)</f>
        <v>Guyana</v>
      </c>
      <c r="C163" s="72" t="s">
        <v>508</v>
      </c>
      <c r="D163" s="72" t="s">
        <v>557</v>
      </c>
      <c r="E163" s="73">
        <v>229000</v>
      </c>
      <c r="F163" s="73">
        <v>270000</v>
      </c>
      <c r="G163" s="73">
        <v>361000</v>
      </c>
      <c r="H163" s="73">
        <v>354000</v>
      </c>
      <c r="I163" s="73">
        <v>329000</v>
      </c>
      <c r="J163" s="73">
        <v>169000</v>
      </c>
      <c r="K163" s="73">
        <v>452000</v>
      </c>
      <c r="L163" s="73">
        <v>1024000</v>
      </c>
      <c r="M163" s="73">
        <v>820000</v>
      </c>
      <c r="N163" s="73">
        <v>136000</v>
      </c>
      <c r="O163" s="73">
        <v>116000</v>
      </c>
      <c r="P163" s="73">
        <v>105000</v>
      </c>
      <c r="Q163" s="73">
        <v>157000</v>
      </c>
      <c r="R163" s="73">
        <v>526000</v>
      </c>
      <c r="S163" s="73">
        <v>146000</v>
      </c>
      <c r="T163" s="73">
        <v>92000</v>
      </c>
      <c r="U163" s="73">
        <v>7000</v>
      </c>
      <c r="V163" s="73">
        <v>612341</v>
      </c>
      <c r="W163" s="73">
        <v>367216</v>
      </c>
      <c r="X163" s="73">
        <v>346577</v>
      </c>
      <c r="Y163" s="73">
        <v>115768</v>
      </c>
      <c r="Z163" s="73">
        <v>27397</v>
      </c>
      <c r="AA163" s="73">
        <v>3415</v>
      </c>
      <c r="AB163" s="73">
        <v>178383</v>
      </c>
      <c r="AC163" s="73">
        <v>7416</v>
      </c>
      <c r="AD163" s="73">
        <v>14717</v>
      </c>
      <c r="AE163" s="73">
        <v>67027</v>
      </c>
      <c r="AF163" s="73">
        <v>43563</v>
      </c>
      <c r="AG163" s="73">
        <v>549582</v>
      </c>
      <c r="AH163" s="73">
        <v>108614</v>
      </c>
      <c r="AI163" s="73">
        <v>309954</v>
      </c>
      <c r="AJ163" s="73">
        <v>122618</v>
      </c>
      <c r="AK163" s="73">
        <v>274319</v>
      </c>
      <c r="AL163" s="73">
        <v>613148</v>
      </c>
      <c r="AM163" s="73">
        <v>81088</v>
      </c>
      <c r="AN163" s="73">
        <v>298276</v>
      </c>
      <c r="AO163" s="73">
        <v>565965</v>
      </c>
      <c r="AP163" s="73">
        <v>603510</v>
      </c>
      <c r="AQ163" s="73">
        <v>114937</v>
      </c>
      <c r="AR163" s="73">
        <v>812644</v>
      </c>
      <c r="AS163" s="73">
        <v>778464</v>
      </c>
      <c r="AT163" s="73">
        <v>449214</v>
      </c>
      <c r="AU163" s="73">
        <v>658079</v>
      </c>
      <c r="AV163">
        <v>46364459</v>
      </c>
      <c r="AW163">
        <v>233545878</v>
      </c>
      <c r="AX163">
        <v>382583661</v>
      </c>
    </row>
    <row r="164" spans="1:50" ht="14.5" x14ac:dyDescent="0.35">
      <c r="A164" s="72" t="s">
        <v>315</v>
      </c>
      <c r="B164" s="72" t="str">
        <f>VLOOKUP(Tabelle_Abfrage_von_MS_Access_Database3[[#This Row],[LAND]],Texte!$A$4:$C$261,Texte!$A$1+1,FALSE)</f>
        <v>Suriname</v>
      </c>
      <c r="C164" s="72" t="s">
        <v>508</v>
      </c>
      <c r="D164" s="72" t="s">
        <v>557</v>
      </c>
      <c r="E164" s="73">
        <v>5000</v>
      </c>
      <c r="F164" s="73">
        <v>3000</v>
      </c>
      <c r="G164" s="73">
        <v>53000</v>
      </c>
      <c r="H164" s="73">
        <v>138000</v>
      </c>
      <c r="I164" s="73">
        <v>1465000</v>
      </c>
      <c r="J164" s="73">
        <v>748000</v>
      </c>
      <c r="K164" s="73">
        <v>1126000</v>
      </c>
      <c r="L164" s="73">
        <v>215000</v>
      </c>
      <c r="M164" s="73">
        <v>154000</v>
      </c>
      <c r="N164" s="73">
        <v>12000</v>
      </c>
      <c r="O164" s="73">
        <v>57000</v>
      </c>
      <c r="P164" s="73">
        <v>351000</v>
      </c>
      <c r="Q164" s="73">
        <v>1076000</v>
      </c>
      <c r="R164" s="73">
        <v>38000</v>
      </c>
      <c r="S164" s="73">
        <v>6000</v>
      </c>
      <c r="T164" s="73">
        <v>61000</v>
      </c>
      <c r="U164" s="73">
        <v>137000</v>
      </c>
      <c r="V164" s="73">
        <v>533492</v>
      </c>
      <c r="W164" s="73">
        <v>968365</v>
      </c>
      <c r="X164" s="73">
        <v>655218</v>
      </c>
      <c r="Y164" s="73">
        <v>152466</v>
      </c>
      <c r="Z164" s="73">
        <v>361621</v>
      </c>
      <c r="AA164" s="73">
        <v>198106</v>
      </c>
      <c r="AB164" s="73">
        <v>96549</v>
      </c>
      <c r="AC164" s="73">
        <v>101800</v>
      </c>
      <c r="AD164" s="73">
        <v>302008</v>
      </c>
      <c r="AE164" s="73">
        <v>249233</v>
      </c>
      <c r="AF164" s="73">
        <v>59053</v>
      </c>
      <c r="AG164" s="73">
        <v>207828</v>
      </c>
      <c r="AH164" s="73">
        <v>2449507</v>
      </c>
      <c r="AI164" s="73">
        <v>223425</v>
      </c>
      <c r="AJ164" s="73">
        <v>4282982</v>
      </c>
      <c r="AK164" s="73">
        <v>3269321</v>
      </c>
      <c r="AL164" s="73">
        <v>341177</v>
      </c>
      <c r="AM164" s="73">
        <v>2440912</v>
      </c>
      <c r="AN164" s="73">
        <v>3035499</v>
      </c>
      <c r="AO164" s="73">
        <v>3527180</v>
      </c>
      <c r="AP164" s="73">
        <v>3224789</v>
      </c>
      <c r="AQ164" s="73">
        <v>3518163</v>
      </c>
      <c r="AR164" s="73">
        <v>5021999</v>
      </c>
      <c r="AS164" s="73">
        <v>1816381</v>
      </c>
      <c r="AT164" s="73">
        <v>285460</v>
      </c>
      <c r="AU164" s="73">
        <v>216867</v>
      </c>
      <c r="AV164">
        <v>176437</v>
      </c>
      <c r="AW164">
        <v>639911</v>
      </c>
      <c r="AX164">
        <v>169458</v>
      </c>
    </row>
    <row r="165" spans="1:50" ht="14.5" x14ac:dyDescent="0.35">
      <c r="A165" s="72" t="s">
        <v>317</v>
      </c>
      <c r="B165" s="72" t="str">
        <f>VLOOKUP(Tabelle_Abfrage_von_MS_Access_Database3[[#This Row],[LAND]],Texte!$A$4:$C$261,Texte!$A$1+1,FALSE)</f>
        <v>Französisch-Guayana</v>
      </c>
      <c r="C165" s="72" t="s">
        <v>508</v>
      </c>
      <c r="D165" s="72" t="s">
        <v>526</v>
      </c>
      <c r="E165" s="73">
        <v>0</v>
      </c>
      <c r="F165" s="73">
        <v>1000</v>
      </c>
      <c r="G165" s="73">
        <v>1000</v>
      </c>
      <c r="H165" s="73">
        <v>0</v>
      </c>
      <c r="I165" s="73">
        <v>5000</v>
      </c>
      <c r="J165" s="73">
        <v>0</v>
      </c>
      <c r="K165" s="73">
        <v>0</v>
      </c>
      <c r="L165" s="73">
        <v>0</v>
      </c>
      <c r="M165" s="73">
        <v>0</v>
      </c>
      <c r="N165" s="73">
        <v>2000</v>
      </c>
      <c r="O165" s="73">
        <v>22000</v>
      </c>
      <c r="P165" s="73">
        <v>108000</v>
      </c>
      <c r="Q165" s="73">
        <v>21000</v>
      </c>
      <c r="R165" s="73">
        <v>4000</v>
      </c>
      <c r="S165" s="73">
        <v>26000</v>
      </c>
      <c r="T165" s="73">
        <v>55000</v>
      </c>
      <c r="U165" s="73">
        <v>151000</v>
      </c>
      <c r="V165" s="73">
        <v>1526</v>
      </c>
      <c r="W165" s="73">
        <v>2979</v>
      </c>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row>
    <row r="166" spans="1:50" ht="14.5" x14ac:dyDescent="0.35">
      <c r="A166" s="72" t="s">
        <v>319</v>
      </c>
      <c r="B166" s="72" t="str">
        <f>VLOOKUP(Tabelle_Abfrage_von_MS_Access_Database3[[#This Row],[LAND]],Texte!$A$4:$C$261,Texte!$A$1+1,FALSE)</f>
        <v>Ecuador</v>
      </c>
      <c r="C166" s="72" t="s">
        <v>508</v>
      </c>
      <c r="D166" s="72" t="s">
        <v>557</v>
      </c>
      <c r="E166" s="73">
        <v>15721000</v>
      </c>
      <c r="F166" s="73">
        <v>16557000</v>
      </c>
      <c r="G166" s="73">
        <v>18142000</v>
      </c>
      <c r="H166" s="73">
        <v>10062000</v>
      </c>
      <c r="I166" s="73">
        <v>6093000</v>
      </c>
      <c r="J166" s="73">
        <v>3287000</v>
      </c>
      <c r="K166" s="73">
        <v>3660000</v>
      </c>
      <c r="L166" s="73">
        <v>6814000</v>
      </c>
      <c r="M166" s="73">
        <v>8829000</v>
      </c>
      <c r="N166" s="73">
        <v>11930000</v>
      </c>
      <c r="O166" s="73">
        <v>11050000</v>
      </c>
      <c r="P166" s="73">
        <v>14687000</v>
      </c>
      <c r="Q166" s="73">
        <v>9829000</v>
      </c>
      <c r="R166" s="73">
        <v>22095000</v>
      </c>
      <c r="S166" s="73">
        <v>18542000</v>
      </c>
      <c r="T166" s="73">
        <v>17189000</v>
      </c>
      <c r="U166" s="73">
        <v>24870000</v>
      </c>
      <c r="V166" s="73">
        <v>21348806</v>
      </c>
      <c r="W166" s="73">
        <v>21385144</v>
      </c>
      <c r="X166" s="73">
        <v>23021663</v>
      </c>
      <c r="Y166" s="73">
        <v>17052171</v>
      </c>
      <c r="Z166" s="73">
        <v>34127747</v>
      </c>
      <c r="AA166" s="73">
        <v>37827443</v>
      </c>
      <c r="AB166" s="73">
        <v>41008416</v>
      </c>
      <c r="AC166" s="73">
        <v>34701242</v>
      </c>
      <c r="AD166" s="73">
        <v>41892811</v>
      </c>
      <c r="AE166" s="73">
        <v>36389986</v>
      </c>
      <c r="AF166" s="73">
        <v>44834501</v>
      </c>
      <c r="AG166" s="73">
        <v>43946854</v>
      </c>
      <c r="AH166" s="73">
        <v>36904862</v>
      </c>
      <c r="AI166" s="73">
        <v>47193691</v>
      </c>
      <c r="AJ166" s="73">
        <v>40426870</v>
      </c>
      <c r="AK166" s="73">
        <v>32224409</v>
      </c>
      <c r="AL166" s="73">
        <v>39605024</v>
      </c>
      <c r="AM166" s="73">
        <v>48929325</v>
      </c>
      <c r="AN166" s="73">
        <v>60577951</v>
      </c>
      <c r="AO166" s="73">
        <v>55486364</v>
      </c>
      <c r="AP166" s="73">
        <v>50202049</v>
      </c>
      <c r="AQ166" s="73">
        <v>47043164</v>
      </c>
      <c r="AR166" s="73">
        <v>40103299</v>
      </c>
      <c r="AS166" s="73">
        <v>45920417</v>
      </c>
      <c r="AT166" s="73">
        <v>44812829</v>
      </c>
      <c r="AU166" s="73">
        <v>54810980</v>
      </c>
      <c r="AV166">
        <v>59277268</v>
      </c>
      <c r="AW166">
        <v>64237446</v>
      </c>
      <c r="AX166">
        <v>76162815</v>
      </c>
    </row>
    <row r="167" spans="1:50" ht="14.5" x14ac:dyDescent="0.35">
      <c r="A167" s="72" t="s">
        <v>321</v>
      </c>
      <c r="B167" s="72" t="str">
        <f>VLOOKUP(Tabelle_Abfrage_von_MS_Access_Database3[[#This Row],[LAND]],Texte!$A$4:$C$261,Texte!$A$1+1,FALSE)</f>
        <v>Peru</v>
      </c>
      <c r="C167" s="72" t="s">
        <v>508</v>
      </c>
      <c r="D167" s="72" t="s">
        <v>557</v>
      </c>
      <c r="E167" s="73">
        <v>7347000</v>
      </c>
      <c r="F167" s="73">
        <v>10111000</v>
      </c>
      <c r="G167" s="73">
        <v>18792000</v>
      </c>
      <c r="H167" s="73">
        <v>7415000</v>
      </c>
      <c r="I167" s="73">
        <v>15108000</v>
      </c>
      <c r="J167" s="73">
        <v>4391000</v>
      </c>
      <c r="K167" s="73">
        <v>10118000</v>
      </c>
      <c r="L167" s="73">
        <v>9554000</v>
      </c>
      <c r="M167" s="73">
        <v>19108000</v>
      </c>
      <c r="N167" s="73">
        <v>12492000</v>
      </c>
      <c r="O167" s="73">
        <v>7948000</v>
      </c>
      <c r="P167" s="73">
        <v>16180000</v>
      </c>
      <c r="Q167" s="73">
        <v>16890000</v>
      </c>
      <c r="R167" s="73">
        <v>16494000</v>
      </c>
      <c r="S167" s="73">
        <v>12068000</v>
      </c>
      <c r="T167" s="73">
        <v>11267000</v>
      </c>
      <c r="U167" s="73">
        <v>9719000</v>
      </c>
      <c r="V167" s="73">
        <v>11293796</v>
      </c>
      <c r="W167" s="73">
        <v>9465278</v>
      </c>
      <c r="X167" s="73">
        <v>8778514</v>
      </c>
      <c r="Y167" s="73">
        <v>10231097</v>
      </c>
      <c r="Z167" s="73">
        <v>5861652</v>
      </c>
      <c r="AA167" s="73">
        <v>6581036</v>
      </c>
      <c r="AB167" s="73">
        <v>6327827</v>
      </c>
      <c r="AC167" s="73">
        <v>7716314</v>
      </c>
      <c r="AD167" s="73">
        <v>6668298</v>
      </c>
      <c r="AE167" s="73">
        <v>6860367</v>
      </c>
      <c r="AF167" s="73">
        <v>4685090</v>
      </c>
      <c r="AG167" s="73">
        <v>16480778</v>
      </c>
      <c r="AH167" s="73">
        <v>16618357</v>
      </c>
      <c r="AI167" s="73">
        <v>18677203</v>
      </c>
      <c r="AJ167" s="73">
        <v>22006404</v>
      </c>
      <c r="AK167" s="73">
        <v>32532019</v>
      </c>
      <c r="AL167" s="73">
        <v>23992067</v>
      </c>
      <c r="AM167" s="73">
        <v>26596413</v>
      </c>
      <c r="AN167" s="73">
        <v>28275328</v>
      </c>
      <c r="AO167" s="73">
        <v>41122839</v>
      </c>
      <c r="AP167" s="73">
        <v>60377098</v>
      </c>
      <c r="AQ167" s="73">
        <v>71818532</v>
      </c>
      <c r="AR167" s="73">
        <v>83050418</v>
      </c>
      <c r="AS167" s="73">
        <v>90360280</v>
      </c>
      <c r="AT167" s="73">
        <v>94866081</v>
      </c>
      <c r="AU167" s="73">
        <v>108163498</v>
      </c>
      <c r="AV167">
        <v>118739530</v>
      </c>
      <c r="AW167">
        <v>122451624</v>
      </c>
      <c r="AX167">
        <v>112931206</v>
      </c>
    </row>
    <row r="168" spans="1:50" ht="14.5" x14ac:dyDescent="0.35">
      <c r="A168" s="72" t="s">
        <v>323</v>
      </c>
      <c r="B168" s="72" t="str">
        <f>VLOOKUP(Tabelle_Abfrage_von_MS_Access_Database3[[#This Row],[LAND]],Texte!$A$4:$C$261,Texte!$A$1+1,FALSE)</f>
        <v>Brasilien</v>
      </c>
      <c r="C168" s="72" t="s">
        <v>508</v>
      </c>
      <c r="D168" s="72" t="s">
        <v>557</v>
      </c>
      <c r="E168" s="73">
        <v>126770000</v>
      </c>
      <c r="F168" s="73">
        <v>137720000</v>
      </c>
      <c r="G168" s="73">
        <v>143687000</v>
      </c>
      <c r="H168" s="73">
        <v>150648000</v>
      </c>
      <c r="I168" s="73">
        <v>169155000</v>
      </c>
      <c r="J168" s="73">
        <v>209857000</v>
      </c>
      <c r="K168" s="73">
        <v>255395000</v>
      </c>
      <c r="L168" s="73">
        <v>270642000</v>
      </c>
      <c r="M168" s="73">
        <v>169692000</v>
      </c>
      <c r="N168" s="73">
        <v>145860000</v>
      </c>
      <c r="O168" s="73">
        <v>179755000</v>
      </c>
      <c r="P168" s="73">
        <v>200385000</v>
      </c>
      <c r="Q168" s="73">
        <v>135478000</v>
      </c>
      <c r="R168" s="73">
        <v>143917000</v>
      </c>
      <c r="S168" s="73">
        <v>125185000</v>
      </c>
      <c r="T168" s="73">
        <v>119534000</v>
      </c>
      <c r="U168" s="73">
        <v>171107000</v>
      </c>
      <c r="V168" s="73">
        <v>107990874</v>
      </c>
      <c r="W168" s="73">
        <v>108654736</v>
      </c>
      <c r="X168" s="73">
        <v>146385832</v>
      </c>
      <c r="Y168" s="73">
        <v>179679869</v>
      </c>
      <c r="Z168" s="73">
        <v>148566009</v>
      </c>
      <c r="AA168" s="73">
        <v>220143382</v>
      </c>
      <c r="AB168" s="73">
        <v>197731266</v>
      </c>
      <c r="AC168" s="73">
        <v>179606863</v>
      </c>
      <c r="AD168" s="73">
        <v>181756943</v>
      </c>
      <c r="AE168" s="73">
        <v>290070248</v>
      </c>
      <c r="AF168" s="73">
        <v>300231679</v>
      </c>
      <c r="AG168" s="73">
        <v>376931615</v>
      </c>
      <c r="AH168" s="73">
        <v>434981717</v>
      </c>
      <c r="AI168" s="73">
        <v>484049991</v>
      </c>
      <c r="AJ168" s="73">
        <v>405049383</v>
      </c>
      <c r="AK168" s="73">
        <v>503723416</v>
      </c>
      <c r="AL168" s="73">
        <v>597486925</v>
      </c>
      <c r="AM168" s="73">
        <v>415266752</v>
      </c>
      <c r="AN168" s="73">
        <v>355319553</v>
      </c>
      <c r="AO168" s="73">
        <v>320624759</v>
      </c>
      <c r="AP168" s="73">
        <v>350036566</v>
      </c>
      <c r="AQ168" s="73">
        <v>295148062</v>
      </c>
      <c r="AR168" s="73">
        <v>349273971</v>
      </c>
      <c r="AS168" s="73">
        <v>454042848</v>
      </c>
      <c r="AT168" s="73">
        <v>355385627</v>
      </c>
      <c r="AU168" s="73">
        <v>291742066</v>
      </c>
      <c r="AV168">
        <v>300195454</v>
      </c>
      <c r="AW168">
        <v>449430180</v>
      </c>
      <c r="AX168">
        <v>380284933</v>
      </c>
    </row>
    <row r="169" spans="1:50" ht="14.5" x14ac:dyDescent="0.35">
      <c r="A169" s="72" t="s">
        <v>325</v>
      </c>
      <c r="B169" s="72" t="str">
        <f>VLOOKUP(Tabelle_Abfrage_von_MS_Access_Database3[[#This Row],[LAND]],Texte!$A$4:$C$261,Texte!$A$1+1,FALSE)</f>
        <v>Chile</v>
      </c>
      <c r="C169" s="72" t="s">
        <v>508</v>
      </c>
      <c r="D169" s="72" t="s">
        <v>557</v>
      </c>
      <c r="E169" s="73">
        <v>23300000</v>
      </c>
      <c r="F169" s="73">
        <v>36837000</v>
      </c>
      <c r="G169" s="73">
        <v>20979000</v>
      </c>
      <c r="H169" s="73">
        <v>28574000</v>
      </c>
      <c r="I169" s="73">
        <v>23246000</v>
      </c>
      <c r="J169" s="73">
        <v>20102000</v>
      </c>
      <c r="K169" s="73">
        <v>29820000</v>
      </c>
      <c r="L169" s="73">
        <v>21039000</v>
      </c>
      <c r="M169" s="73">
        <v>19585000</v>
      </c>
      <c r="N169" s="73">
        <v>16027000</v>
      </c>
      <c r="O169" s="73">
        <v>26445000</v>
      </c>
      <c r="P169" s="73">
        <v>23524000</v>
      </c>
      <c r="Q169" s="73">
        <v>20383000</v>
      </c>
      <c r="R169" s="73">
        <v>24280000</v>
      </c>
      <c r="S169" s="73">
        <v>28901000</v>
      </c>
      <c r="T169" s="73">
        <v>26250000</v>
      </c>
      <c r="U169" s="73">
        <v>31378000</v>
      </c>
      <c r="V169" s="73">
        <v>51119742</v>
      </c>
      <c r="W169" s="73">
        <v>26225442</v>
      </c>
      <c r="X169" s="73">
        <v>26156690</v>
      </c>
      <c r="Y169" s="73">
        <v>27834930</v>
      </c>
      <c r="Z169" s="73">
        <v>24778018</v>
      </c>
      <c r="AA169" s="73">
        <v>37625709</v>
      </c>
      <c r="AB169" s="73">
        <v>56679526</v>
      </c>
      <c r="AC169" s="73">
        <v>39089966</v>
      </c>
      <c r="AD169" s="73">
        <v>43052065</v>
      </c>
      <c r="AE169" s="73">
        <v>75052681</v>
      </c>
      <c r="AF169" s="73">
        <v>159978059</v>
      </c>
      <c r="AG169" s="73">
        <v>153608996</v>
      </c>
      <c r="AH169" s="73">
        <v>170533535</v>
      </c>
      <c r="AI169" s="73">
        <v>182939745</v>
      </c>
      <c r="AJ169" s="73">
        <v>67720356</v>
      </c>
      <c r="AK169" s="73">
        <v>119934395</v>
      </c>
      <c r="AL169" s="73">
        <v>136053545</v>
      </c>
      <c r="AM169" s="73">
        <v>127081564</v>
      </c>
      <c r="AN169" s="73">
        <v>117136069</v>
      </c>
      <c r="AO169" s="73">
        <v>145840869</v>
      </c>
      <c r="AP169" s="73">
        <v>111878444</v>
      </c>
      <c r="AQ169" s="73">
        <v>110223010</v>
      </c>
      <c r="AR169" s="73">
        <v>123511145</v>
      </c>
      <c r="AS169" s="73">
        <v>167695413</v>
      </c>
      <c r="AT169" s="73">
        <v>125820440</v>
      </c>
      <c r="AU169" s="73">
        <v>113769611</v>
      </c>
      <c r="AV169">
        <v>166507540</v>
      </c>
      <c r="AW169">
        <v>234644354</v>
      </c>
      <c r="AX169">
        <v>321787873</v>
      </c>
    </row>
    <row r="170" spans="1:50" ht="14.5" x14ac:dyDescent="0.35">
      <c r="A170" s="72" t="s">
        <v>327</v>
      </c>
      <c r="B170" s="72" t="str">
        <f>VLOOKUP(Tabelle_Abfrage_von_MS_Access_Database3[[#This Row],[LAND]],Texte!$A$4:$C$261,Texte!$A$1+1,FALSE)</f>
        <v>Bolivien</v>
      </c>
      <c r="C170" s="72" t="s">
        <v>508</v>
      </c>
      <c r="D170" s="72" t="s">
        <v>557</v>
      </c>
      <c r="E170" s="73">
        <v>920000</v>
      </c>
      <c r="F170" s="73">
        <v>1515000</v>
      </c>
      <c r="G170" s="73">
        <v>1298000</v>
      </c>
      <c r="H170" s="73">
        <v>1724000</v>
      </c>
      <c r="I170" s="73">
        <v>7738000</v>
      </c>
      <c r="J170" s="73">
        <v>11302000</v>
      </c>
      <c r="K170" s="73">
        <v>6983000</v>
      </c>
      <c r="L170" s="73">
        <v>6514000</v>
      </c>
      <c r="M170" s="73">
        <v>7233000</v>
      </c>
      <c r="N170" s="73">
        <v>4449000</v>
      </c>
      <c r="O170" s="73">
        <v>5991000</v>
      </c>
      <c r="P170" s="73">
        <v>4534000</v>
      </c>
      <c r="Q170" s="73">
        <v>5937000</v>
      </c>
      <c r="R170" s="73">
        <v>3744000</v>
      </c>
      <c r="S170" s="73">
        <v>2346000</v>
      </c>
      <c r="T170" s="73">
        <v>2751000</v>
      </c>
      <c r="U170" s="73">
        <v>2707000</v>
      </c>
      <c r="V170" s="73">
        <v>4634128</v>
      </c>
      <c r="W170" s="73">
        <v>4244092</v>
      </c>
      <c r="X170" s="73">
        <v>6927903</v>
      </c>
      <c r="Y170" s="73">
        <v>5732503</v>
      </c>
      <c r="Z170" s="73">
        <v>5616738</v>
      </c>
      <c r="AA170" s="73">
        <v>5620082</v>
      </c>
      <c r="AB170" s="73">
        <v>4170698</v>
      </c>
      <c r="AC170" s="73">
        <v>1896674</v>
      </c>
      <c r="AD170" s="73">
        <v>2464759</v>
      </c>
      <c r="AE170" s="73">
        <v>2176474</v>
      </c>
      <c r="AF170" s="73">
        <v>3671306</v>
      </c>
      <c r="AG170" s="73">
        <v>5852609</v>
      </c>
      <c r="AH170" s="73">
        <v>6712963</v>
      </c>
      <c r="AI170" s="73">
        <v>5432619</v>
      </c>
      <c r="AJ170" s="73">
        <v>3888060</v>
      </c>
      <c r="AK170" s="73">
        <v>4743930</v>
      </c>
      <c r="AL170" s="73">
        <v>6260250</v>
      </c>
      <c r="AM170" s="73">
        <v>7921707</v>
      </c>
      <c r="AN170" s="73">
        <v>9724808</v>
      </c>
      <c r="AO170" s="73">
        <v>14329366</v>
      </c>
      <c r="AP170" s="73">
        <v>19845652</v>
      </c>
      <c r="AQ170" s="73">
        <v>13041298</v>
      </c>
      <c r="AR170" s="73">
        <v>12009853</v>
      </c>
      <c r="AS170" s="73">
        <v>14894170</v>
      </c>
      <c r="AT170" s="73">
        <v>12568455</v>
      </c>
      <c r="AU170" s="73">
        <v>13976044</v>
      </c>
      <c r="AV170">
        <v>14448361</v>
      </c>
      <c r="AW170">
        <v>27220656</v>
      </c>
      <c r="AX170">
        <v>32974757</v>
      </c>
    </row>
    <row r="171" spans="1:50" ht="14.5" x14ac:dyDescent="0.35">
      <c r="A171" s="72" t="s">
        <v>329</v>
      </c>
      <c r="B171" s="72" t="str">
        <f>VLOOKUP(Tabelle_Abfrage_von_MS_Access_Database3[[#This Row],[LAND]],Texte!$A$4:$C$261,Texte!$A$1+1,FALSE)</f>
        <v>Paraguay</v>
      </c>
      <c r="C171" s="72" t="s">
        <v>508</v>
      </c>
      <c r="D171" s="72" t="s">
        <v>557</v>
      </c>
      <c r="E171" s="73">
        <v>2150000</v>
      </c>
      <c r="F171" s="73">
        <v>6276000</v>
      </c>
      <c r="G171" s="73">
        <v>8087000</v>
      </c>
      <c r="H171" s="73">
        <v>3145000</v>
      </c>
      <c r="I171" s="73">
        <v>5501000</v>
      </c>
      <c r="J171" s="73">
        <v>6296000</v>
      </c>
      <c r="K171" s="73">
        <v>4697000</v>
      </c>
      <c r="L171" s="73">
        <v>5368000</v>
      </c>
      <c r="M171" s="73">
        <v>4699000</v>
      </c>
      <c r="N171" s="73">
        <v>4086000</v>
      </c>
      <c r="O171" s="73">
        <v>6377000</v>
      </c>
      <c r="P171" s="73">
        <v>5794000</v>
      </c>
      <c r="Q171" s="73">
        <v>3639000</v>
      </c>
      <c r="R171" s="73">
        <v>3123000</v>
      </c>
      <c r="S171" s="73">
        <v>1216000</v>
      </c>
      <c r="T171" s="73">
        <v>473000</v>
      </c>
      <c r="U171" s="73">
        <v>260000</v>
      </c>
      <c r="V171" s="73">
        <v>527532</v>
      </c>
      <c r="W171" s="73">
        <v>209806</v>
      </c>
      <c r="X171" s="73">
        <v>284589</v>
      </c>
      <c r="Y171" s="73">
        <v>243820</v>
      </c>
      <c r="Z171" s="73">
        <v>127686</v>
      </c>
      <c r="AA171" s="73">
        <v>129795</v>
      </c>
      <c r="AB171" s="73">
        <v>220732</v>
      </c>
      <c r="AC171" s="73">
        <v>240012</v>
      </c>
      <c r="AD171" s="73">
        <v>357397</v>
      </c>
      <c r="AE171" s="73">
        <v>307336</v>
      </c>
      <c r="AF171" s="73">
        <v>531035</v>
      </c>
      <c r="AG171" s="73">
        <v>671155</v>
      </c>
      <c r="AH171" s="73">
        <v>635045</v>
      </c>
      <c r="AI171" s="73">
        <v>711542</v>
      </c>
      <c r="AJ171" s="73">
        <v>766573</v>
      </c>
      <c r="AK171" s="73">
        <v>1068327</v>
      </c>
      <c r="AL171" s="73">
        <v>1524694</v>
      </c>
      <c r="AM171" s="73">
        <v>1195604</v>
      </c>
      <c r="AN171" s="73">
        <v>1708992</v>
      </c>
      <c r="AO171" s="73">
        <v>1974200</v>
      </c>
      <c r="AP171" s="73">
        <v>3434558</v>
      </c>
      <c r="AQ171" s="73">
        <v>3393302</v>
      </c>
      <c r="AR171" s="73">
        <v>5075343</v>
      </c>
      <c r="AS171" s="73">
        <v>4919610</v>
      </c>
      <c r="AT171" s="73">
        <v>3694876</v>
      </c>
      <c r="AU171" s="73">
        <v>4432622</v>
      </c>
      <c r="AV171">
        <v>2818419</v>
      </c>
      <c r="AW171">
        <v>3923279</v>
      </c>
      <c r="AX171">
        <v>2823042</v>
      </c>
    </row>
    <row r="172" spans="1:50" ht="14.5" x14ac:dyDescent="0.35">
      <c r="A172" s="72" t="s">
        <v>331</v>
      </c>
      <c r="B172" s="72" t="str">
        <f>VLOOKUP(Tabelle_Abfrage_von_MS_Access_Database3[[#This Row],[LAND]],Texte!$A$4:$C$261,Texte!$A$1+1,FALSE)</f>
        <v>Uruguay</v>
      </c>
      <c r="C172" s="72" t="s">
        <v>508</v>
      </c>
      <c r="D172" s="72" t="s">
        <v>557</v>
      </c>
      <c r="E172" s="73">
        <v>7579000</v>
      </c>
      <c r="F172" s="73">
        <v>8440000</v>
      </c>
      <c r="G172" s="73">
        <v>10251000</v>
      </c>
      <c r="H172" s="73">
        <v>11732000</v>
      </c>
      <c r="I172" s="73">
        <v>19559000</v>
      </c>
      <c r="J172" s="73">
        <v>12591000</v>
      </c>
      <c r="K172" s="73">
        <v>16217000</v>
      </c>
      <c r="L172" s="73">
        <v>9691000</v>
      </c>
      <c r="M172" s="73">
        <v>11898000</v>
      </c>
      <c r="N172" s="73">
        <v>12583000</v>
      </c>
      <c r="O172" s="73">
        <v>12254000</v>
      </c>
      <c r="P172" s="73">
        <v>10987000</v>
      </c>
      <c r="Q172" s="73">
        <v>12348000</v>
      </c>
      <c r="R172" s="73">
        <v>11173000</v>
      </c>
      <c r="S172" s="73">
        <v>11830000</v>
      </c>
      <c r="T172" s="73">
        <v>7479000</v>
      </c>
      <c r="U172" s="73">
        <v>6836000</v>
      </c>
      <c r="V172" s="73">
        <v>5752928</v>
      </c>
      <c r="W172" s="73">
        <v>3175221</v>
      </c>
      <c r="X172" s="73">
        <v>2982566</v>
      </c>
      <c r="Y172" s="73">
        <v>2041018</v>
      </c>
      <c r="Z172" s="73">
        <v>2491952</v>
      </c>
      <c r="AA172" s="73">
        <v>1881497</v>
      </c>
      <c r="AB172" s="73">
        <v>1426335</v>
      </c>
      <c r="AC172" s="73">
        <v>3014317</v>
      </c>
      <c r="AD172" s="73">
        <v>1171316</v>
      </c>
      <c r="AE172" s="73">
        <v>1526589</v>
      </c>
      <c r="AF172" s="73">
        <v>1266430</v>
      </c>
      <c r="AG172" s="73">
        <v>2257094</v>
      </c>
      <c r="AH172" s="73">
        <v>3090774</v>
      </c>
      <c r="AI172" s="73">
        <v>5369851</v>
      </c>
      <c r="AJ172" s="73">
        <v>6074802</v>
      </c>
      <c r="AK172" s="73">
        <v>10014591</v>
      </c>
      <c r="AL172" s="73">
        <v>17938071</v>
      </c>
      <c r="AM172" s="73">
        <v>31487874</v>
      </c>
      <c r="AN172" s="73">
        <v>31334481</v>
      </c>
      <c r="AO172" s="73">
        <v>46064107</v>
      </c>
      <c r="AP172" s="73">
        <v>87865558</v>
      </c>
      <c r="AQ172" s="73">
        <v>122630981</v>
      </c>
      <c r="AR172" s="73">
        <v>114027789</v>
      </c>
      <c r="AS172" s="73">
        <v>103975336</v>
      </c>
      <c r="AT172" s="73">
        <v>75129304</v>
      </c>
      <c r="AU172" s="73">
        <v>54529054</v>
      </c>
      <c r="AV172">
        <v>107598651</v>
      </c>
      <c r="AW172">
        <v>131632806</v>
      </c>
      <c r="AX172">
        <v>73342056</v>
      </c>
    </row>
    <row r="173" spans="1:50" ht="14.5" x14ac:dyDescent="0.35">
      <c r="A173" s="72" t="s">
        <v>333</v>
      </c>
      <c r="B173" s="72" t="str">
        <f>VLOOKUP(Tabelle_Abfrage_von_MS_Access_Database3[[#This Row],[LAND]],Texte!$A$4:$C$261,Texte!$A$1+1,FALSE)</f>
        <v>Argentinien</v>
      </c>
      <c r="C173" s="72" t="s">
        <v>508</v>
      </c>
      <c r="D173" s="72" t="s">
        <v>557</v>
      </c>
      <c r="E173" s="73">
        <v>36224000</v>
      </c>
      <c r="F173" s="73">
        <v>21456000</v>
      </c>
      <c r="G173" s="73">
        <v>22678000</v>
      </c>
      <c r="H173" s="73">
        <v>16079000</v>
      </c>
      <c r="I173" s="73">
        <v>20107000</v>
      </c>
      <c r="J173" s="73">
        <v>13273000</v>
      </c>
      <c r="K173" s="73">
        <v>15500000</v>
      </c>
      <c r="L173" s="73">
        <v>19345000</v>
      </c>
      <c r="M173" s="73">
        <v>12526000</v>
      </c>
      <c r="N173" s="73">
        <v>10523000</v>
      </c>
      <c r="O173" s="73">
        <v>16713000</v>
      </c>
      <c r="P173" s="73">
        <v>16895000</v>
      </c>
      <c r="Q173" s="73">
        <v>18206000</v>
      </c>
      <c r="R173" s="73">
        <v>20744000</v>
      </c>
      <c r="S173" s="73">
        <v>15194000</v>
      </c>
      <c r="T173" s="73">
        <v>10997000</v>
      </c>
      <c r="U173" s="73">
        <v>17615000</v>
      </c>
      <c r="V173" s="73">
        <v>15070238</v>
      </c>
      <c r="W173" s="73">
        <v>17159435</v>
      </c>
      <c r="X173" s="73">
        <v>14652657</v>
      </c>
      <c r="Y173" s="73">
        <v>11314718</v>
      </c>
      <c r="Z173" s="73">
        <v>16044053</v>
      </c>
      <c r="AA173" s="73">
        <v>20686546</v>
      </c>
      <c r="AB173" s="73">
        <v>25367356</v>
      </c>
      <c r="AC173" s="73">
        <v>54170884</v>
      </c>
      <c r="AD173" s="73">
        <v>81606643</v>
      </c>
      <c r="AE173" s="73">
        <v>78320404</v>
      </c>
      <c r="AF173" s="73">
        <v>102179201</v>
      </c>
      <c r="AG173" s="73">
        <v>126598766</v>
      </c>
      <c r="AH173" s="73">
        <v>153424063</v>
      </c>
      <c r="AI173" s="73">
        <v>142032845</v>
      </c>
      <c r="AJ173" s="73">
        <v>108140102</v>
      </c>
      <c r="AK173" s="73">
        <v>128576459</v>
      </c>
      <c r="AL173" s="73">
        <v>146264692</v>
      </c>
      <c r="AM173" s="73">
        <v>133985274</v>
      </c>
      <c r="AN173" s="73">
        <v>112084559</v>
      </c>
      <c r="AO173" s="73">
        <v>135258916</v>
      </c>
      <c r="AP173" s="73">
        <v>154117684</v>
      </c>
      <c r="AQ173" s="73">
        <v>111328542</v>
      </c>
      <c r="AR173" s="73">
        <v>111258574</v>
      </c>
      <c r="AS173" s="73">
        <v>78554992</v>
      </c>
      <c r="AT173" s="73">
        <v>78906473</v>
      </c>
      <c r="AU173" s="73">
        <v>52160745</v>
      </c>
      <c r="AV173">
        <v>68391535</v>
      </c>
      <c r="AW173">
        <v>104897259</v>
      </c>
      <c r="AX173">
        <v>86400920</v>
      </c>
    </row>
    <row r="174" spans="1:50" ht="14.5" x14ac:dyDescent="0.35">
      <c r="A174" s="72" t="s">
        <v>335</v>
      </c>
      <c r="B174" s="72" t="str">
        <f>VLOOKUP(Tabelle_Abfrage_von_MS_Access_Database3[[#This Row],[LAND]],Texte!$A$4:$C$261,Texte!$A$1+1,FALSE)</f>
        <v>Falklandinseln</v>
      </c>
      <c r="C174" s="72" t="s">
        <v>508</v>
      </c>
      <c r="D174" s="72" t="s">
        <v>557</v>
      </c>
      <c r="E174" s="73">
        <v>5000</v>
      </c>
      <c r="F174" s="73">
        <v>28000</v>
      </c>
      <c r="G174" s="73">
        <v>26000</v>
      </c>
      <c r="H174" s="73">
        <v>3000</v>
      </c>
      <c r="I174" s="73">
        <v>9000</v>
      </c>
      <c r="J174" s="73">
        <v>38000</v>
      </c>
      <c r="K174" s="73">
        <v>39000</v>
      </c>
      <c r="L174" s="73">
        <v>35000</v>
      </c>
      <c r="M174" s="73">
        <v>6000</v>
      </c>
      <c r="N174" s="73">
        <v>0</v>
      </c>
      <c r="O174" s="73">
        <v>8000</v>
      </c>
      <c r="P174" s="73">
        <v>1000</v>
      </c>
      <c r="Q174" s="73">
        <v>12000</v>
      </c>
      <c r="R174" s="73">
        <v>2000</v>
      </c>
      <c r="S174" s="73">
        <v>3000</v>
      </c>
      <c r="T174" s="73">
        <v>60000</v>
      </c>
      <c r="U174" s="73">
        <v>65000</v>
      </c>
      <c r="V174" s="73">
        <v>16206</v>
      </c>
      <c r="W174" s="73">
        <v>155739</v>
      </c>
      <c r="X174" s="73">
        <v>799</v>
      </c>
      <c r="Y174" s="73">
        <v>434511</v>
      </c>
      <c r="Z174" s="73">
        <v>222088</v>
      </c>
      <c r="AA174" s="73">
        <v>325139</v>
      </c>
      <c r="AB174" s="73">
        <v>65016</v>
      </c>
      <c r="AC174" s="73">
        <v>19111</v>
      </c>
      <c r="AD174" s="73">
        <v>13961</v>
      </c>
      <c r="AE174" s="73">
        <v>56922</v>
      </c>
      <c r="AF174" s="73">
        <v>1414</v>
      </c>
      <c r="AG174" s="73">
        <v>0</v>
      </c>
      <c r="AH174" s="73">
        <v>22829</v>
      </c>
      <c r="AI174" s="73">
        <v>3088</v>
      </c>
      <c r="AJ174" s="73">
        <v>83</v>
      </c>
      <c r="AK174" s="73">
        <v>6648</v>
      </c>
      <c r="AL174" s="73">
        <v>9297</v>
      </c>
      <c r="AM174" s="73">
        <v>23627</v>
      </c>
      <c r="AN174" s="73">
        <v>3962</v>
      </c>
      <c r="AO174" s="73">
        <v>24895</v>
      </c>
      <c r="AP174" s="73">
        <v>127854</v>
      </c>
      <c r="AQ174" s="73">
        <v>58229</v>
      </c>
      <c r="AR174" s="73">
        <v>139384</v>
      </c>
      <c r="AS174" s="73">
        <v>316553</v>
      </c>
      <c r="AT174" s="73">
        <v>419030</v>
      </c>
      <c r="AU174" s="73">
        <v>62301</v>
      </c>
      <c r="AV174">
        <v>55868</v>
      </c>
      <c r="AW174">
        <v>494158</v>
      </c>
      <c r="AX174">
        <v>711788</v>
      </c>
    </row>
    <row r="175" spans="1:50" ht="14.5" x14ac:dyDescent="0.35">
      <c r="A175" s="72" t="s">
        <v>337</v>
      </c>
      <c r="B175" s="72" t="str">
        <f>VLOOKUP(Tabelle_Abfrage_von_MS_Access_Database3[[#This Row],[LAND]],Texte!$A$4:$C$261,Texte!$A$1+1,FALSE)</f>
        <v>Zypern</v>
      </c>
      <c r="C175" s="72" t="s">
        <v>508</v>
      </c>
      <c r="D175" s="72" t="s">
        <v>557</v>
      </c>
      <c r="E175" s="73">
        <v>2217000</v>
      </c>
      <c r="F175" s="73">
        <v>4338000</v>
      </c>
      <c r="G175" s="73">
        <v>4786000</v>
      </c>
      <c r="H175" s="73">
        <v>4354000</v>
      </c>
      <c r="I175" s="73">
        <v>2895000</v>
      </c>
      <c r="J175" s="73">
        <v>4236000</v>
      </c>
      <c r="K175" s="73">
        <v>4846000</v>
      </c>
      <c r="L175" s="73">
        <v>5671000</v>
      </c>
      <c r="M175" s="73">
        <v>5042000</v>
      </c>
      <c r="N175" s="73">
        <v>5651000</v>
      </c>
      <c r="O175" s="73">
        <v>4517000</v>
      </c>
      <c r="P175" s="73">
        <v>5163000</v>
      </c>
      <c r="Q175" s="73">
        <v>7536000</v>
      </c>
      <c r="R175" s="73">
        <v>8731000</v>
      </c>
      <c r="S175" s="73">
        <v>5225000</v>
      </c>
      <c r="T175" s="73">
        <v>5871000</v>
      </c>
      <c r="U175" s="73">
        <v>5492000</v>
      </c>
      <c r="V175" s="73">
        <v>11443497</v>
      </c>
      <c r="W175" s="73">
        <v>8244947</v>
      </c>
      <c r="X175" s="73">
        <v>5447697</v>
      </c>
      <c r="Y175" s="73">
        <v>7245845</v>
      </c>
      <c r="Z175" s="73">
        <v>5190434</v>
      </c>
      <c r="AA175" s="73">
        <v>4338852</v>
      </c>
      <c r="AB175" s="73">
        <v>8163481</v>
      </c>
      <c r="AC175" s="73">
        <v>5258111</v>
      </c>
      <c r="AD175" s="73">
        <v>4811277</v>
      </c>
      <c r="AE175" s="73">
        <v>9629572</v>
      </c>
      <c r="AF175" s="73">
        <v>13637821</v>
      </c>
      <c r="AG175" s="73">
        <v>8540787</v>
      </c>
      <c r="AH175" s="73">
        <v>11493284</v>
      </c>
      <c r="AI175" s="73">
        <v>29333139</v>
      </c>
      <c r="AJ175" s="73">
        <v>17106063</v>
      </c>
      <c r="AK175" s="73">
        <v>35736282</v>
      </c>
      <c r="AL175" s="73">
        <v>78025842</v>
      </c>
      <c r="AM175" s="73">
        <v>16191148</v>
      </c>
      <c r="AN175" s="73">
        <v>62637340</v>
      </c>
      <c r="AO175" s="73">
        <v>27322993</v>
      </c>
      <c r="AP175" s="73">
        <v>26375473</v>
      </c>
      <c r="AQ175" s="73">
        <v>20123318</v>
      </c>
      <c r="AR175" s="73">
        <v>19660498</v>
      </c>
      <c r="AS175" s="73">
        <v>18353140</v>
      </c>
      <c r="AT175" s="73">
        <v>19406872</v>
      </c>
      <c r="AU175" s="73">
        <v>28345860</v>
      </c>
      <c r="AV175">
        <v>23970622</v>
      </c>
      <c r="AW175">
        <v>16245868</v>
      </c>
      <c r="AX175">
        <v>20338490</v>
      </c>
    </row>
    <row r="176" spans="1:50" ht="14.5" x14ac:dyDescent="0.35">
      <c r="A176" s="72" t="s">
        <v>339</v>
      </c>
      <c r="B176" s="72" t="str">
        <f>VLOOKUP(Tabelle_Abfrage_von_MS_Access_Database3[[#This Row],[LAND]],Texte!$A$4:$C$261,Texte!$A$1+1,FALSE)</f>
        <v>Libanon</v>
      </c>
      <c r="C176" s="72" t="s">
        <v>508</v>
      </c>
      <c r="D176" s="72" t="s">
        <v>557</v>
      </c>
      <c r="E176" s="73">
        <v>693000</v>
      </c>
      <c r="F176" s="73">
        <v>768000</v>
      </c>
      <c r="G176" s="73">
        <v>1543000</v>
      </c>
      <c r="H176" s="73">
        <v>599000</v>
      </c>
      <c r="I176" s="73">
        <v>597000</v>
      </c>
      <c r="J176" s="73">
        <v>535000</v>
      </c>
      <c r="K176" s="73">
        <v>873000</v>
      </c>
      <c r="L176" s="73">
        <v>545000</v>
      </c>
      <c r="M176" s="73">
        <v>852000</v>
      </c>
      <c r="N176" s="73">
        <v>865000</v>
      </c>
      <c r="O176" s="73">
        <v>994000</v>
      </c>
      <c r="P176" s="73">
        <v>282000</v>
      </c>
      <c r="Q176" s="73">
        <v>347000</v>
      </c>
      <c r="R176" s="73">
        <v>3231000</v>
      </c>
      <c r="S176" s="73">
        <v>793000</v>
      </c>
      <c r="T176" s="73">
        <v>221000</v>
      </c>
      <c r="U176" s="73">
        <v>265000</v>
      </c>
      <c r="V176" s="73">
        <v>427823</v>
      </c>
      <c r="W176" s="73">
        <v>797074</v>
      </c>
      <c r="X176" s="73">
        <v>589811</v>
      </c>
      <c r="Y176" s="73">
        <v>1413849</v>
      </c>
      <c r="Z176" s="73">
        <v>982902</v>
      </c>
      <c r="AA176" s="73">
        <v>1030793</v>
      </c>
      <c r="AB176" s="73">
        <v>1592549</v>
      </c>
      <c r="AC176" s="73">
        <v>1512336</v>
      </c>
      <c r="AD176" s="73">
        <v>971038</v>
      </c>
      <c r="AE176" s="73">
        <v>835978</v>
      </c>
      <c r="AF176" s="73">
        <v>1263809</v>
      </c>
      <c r="AG176" s="73">
        <v>2462662</v>
      </c>
      <c r="AH176" s="73">
        <v>1776339</v>
      </c>
      <c r="AI176" s="73">
        <v>1680838</v>
      </c>
      <c r="AJ176" s="73">
        <v>1334333</v>
      </c>
      <c r="AK176" s="73">
        <v>2223631</v>
      </c>
      <c r="AL176" s="73">
        <v>1643753</v>
      </c>
      <c r="AM176" s="73">
        <v>1957420</v>
      </c>
      <c r="AN176" s="73">
        <v>2764460</v>
      </c>
      <c r="AO176" s="73">
        <v>5065444</v>
      </c>
      <c r="AP176" s="73">
        <v>3893130</v>
      </c>
      <c r="AQ176" s="73">
        <v>4634810</v>
      </c>
      <c r="AR176" s="73">
        <v>3882963</v>
      </c>
      <c r="AS176" s="73">
        <v>4390118</v>
      </c>
      <c r="AT176" s="73">
        <v>3164427</v>
      </c>
      <c r="AU176" s="73">
        <v>2962284</v>
      </c>
      <c r="AV176">
        <v>3198800</v>
      </c>
      <c r="AW176">
        <v>3345972</v>
      </c>
      <c r="AX176">
        <v>2983082</v>
      </c>
    </row>
    <row r="177" spans="1:50" ht="14.5" x14ac:dyDescent="0.35">
      <c r="A177" s="72" t="s">
        <v>341</v>
      </c>
      <c r="B177" s="72" t="str">
        <f>VLOOKUP(Tabelle_Abfrage_von_MS_Access_Database3[[#This Row],[LAND]],Texte!$A$4:$C$261,Texte!$A$1+1,FALSE)</f>
        <v>Syrien</v>
      </c>
      <c r="C177" s="72" t="s">
        <v>508</v>
      </c>
      <c r="D177" s="72" t="s">
        <v>557</v>
      </c>
      <c r="E177" s="73">
        <v>33488000</v>
      </c>
      <c r="F177" s="73">
        <v>1900000</v>
      </c>
      <c r="G177" s="73">
        <v>1939000</v>
      </c>
      <c r="H177" s="73">
        <v>2655000</v>
      </c>
      <c r="I177" s="73">
        <v>41945000</v>
      </c>
      <c r="J177" s="73">
        <v>3214000</v>
      </c>
      <c r="K177" s="73">
        <v>4257000</v>
      </c>
      <c r="L177" s="73">
        <v>24467000</v>
      </c>
      <c r="M177" s="73">
        <v>4512000</v>
      </c>
      <c r="N177" s="73">
        <v>3651000</v>
      </c>
      <c r="O177" s="73">
        <v>7509000</v>
      </c>
      <c r="P177" s="73">
        <v>22855000</v>
      </c>
      <c r="Q177" s="73">
        <v>61425000</v>
      </c>
      <c r="R177" s="73">
        <v>34271000</v>
      </c>
      <c r="S177" s="73">
        <v>39834000</v>
      </c>
      <c r="T177" s="73">
        <v>39865000</v>
      </c>
      <c r="U177" s="73">
        <v>33135000</v>
      </c>
      <c r="V177" s="73">
        <v>41549747</v>
      </c>
      <c r="W177" s="73">
        <v>31834190</v>
      </c>
      <c r="X177" s="73">
        <v>11887608</v>
      </c>
      <c r="Y177" s="73">
        <v>14719087</v>
      </c>
      <c r="Z177" s="73">
        <v>5526401</v>
      </c>
      <c r="AA177" s="73">
        <v>65504750</v>
      </c>
      <c r="AB177" s="73">
        <v>212570570</v>
      </c>
      <c r="AC177" s="73">
        <v>186358985</v>
      </c>
      <c r="AD177" s="73">
        <v>119551208</v>
      </c>
      <c r="AE177" s="73">
        <v>37950712</v>
      </c>
      <c r="AF177" s="73">
        <v>50222344</v>
      </c>
      <c r="AG177" s="73">
        <v>222539165</v>
      </c>
      <c r="AH177" s="73">
        <v>247165429</v>
      </c>
      <c r="AI177" s="73">
        <v>104794241</v>
      </c>
      <c r="AJ177" s="73">
        <v>95197749</v>
      </c>
      <c r="AK177" s="73">
        <v>248495515</v>
      </c>
      <c r="AL177" s="73">
        <v>116229226</v>
      </c>
      <c r="AM177" s="73">
        <v>6163293</v>
      </c>
      <c r="AN177" s="73">
        <v>1316031</v>
      </c>
      <c r="AO177" s="73">
        <v>1842812</v>
      </c>
      <c r="AP177" s="73">
        <v>771100</v>
      </c>
      <c r="AQ177" s="73">
        <v>963036</v>
      </c>
      <c r="AR177" s="73">
        <v>896157</v>
      </c>
      <c r="AS177" s="73">
        <v>979676</v>
      </c>
      <c r="AT177" s="73">
        <v>852370</v>
      </c>
      <c r="AU177" s="73">
        <v>1126783</v>
      </c>
      <c r="AV177">
        <v>1065940</v>
      </c>
      <c r="AW177">
        <v>687445</v>
      </c>
      <c r="AX177">
        <v>606101</v>
      </c>
    </row>
    <row r="178" spans="1:50" ht="14.5" x14ac:dyDescent="0.35">
      <c r="A178" s="72" t="s">
        <v>343</v>
      </c>
      <c r="B178" s="72" t="str">
        <f>VLOOKUP(Tabelle_Abfrage_von_MS_Access_Database3[[#This Row],[LAND]],Texte!$A$4:$C$261,Texte!$A$1+1,FALSE)</f>
        <v>Irak</v>
      </c>
      <c r="C178" s="72" t="s">
        <v>508</v>
      </c>
      <c r="D178" s="72" t="s">
        <v>557</v>
      </c>
      <c r="E178" s="73">
        <v>188825000</v>
      </c>
      <c r="F178" s="73">
        <v>461645000</v>
      </c>
      <c r="G178" s="73">
        <v>510630000</v>
      </c>
      <c r="H178" s="73">
        <v>114316000</v>
      </c>
      <c r="I178" s="73">
        <v>34782000</v>
      </c>
      <c r="J178" s="73">
        <v>514000</v>
      </c>
      <c r="K178" s="73">
        <v>90641000</v>
      </c>
      <c r="L178" s="73">
        <v>120736000</v>
      </c>
      <c r="M178" s="73">
        <v>189000</v>
      </c>
      <c r="N178" s="73">
        <v>92282000</v>
      </c>
      <c r="O178" s="73">
        <v>38661000</v>
      </c>
      <c r="P178" s="73">
        <v>427000</v>
      </c>
      <c r="Q178" s="73">
        <v>571000</v>
      </c>
      <c r="R178" s="73">
        <v>0</v>
      </c>
      <c r="S178" s="73">
        <v>0</v>
      </c>
      <c r="T178" s="73">
        <v>5058000</v>
      </c>
      <c r="U178" s="73">
        <v>0</v>
      </c>
      <c r="V178" s="73">
        <v>22965</v>
      </c>
      <c r="W178" s="73">
        <v>2107</v>
      </c>
      <c r="X178" s="73">
        <v>117347006</v>
      </c>
      <c r="Y178" s="73">
        <v>121148667</v>
      </c>
      <c r="Z178" s="73">
        <v>211733975</v>
      </c>
      <c r="AA178" s="73">
        <v>321343066</v>
      </c>
      <c r="AB178" s="73">
        <v>190411023</v>
      </c>
      <c r="AC178" s="73">
        <v>194327445</v>
      </c>
      <c r="AD178" s="73">
        <v>35605433</v>
      </c>
      <c r="AE178" s="73">
        <v>37212034</v>
      </c>
      <c r="AF178" s="73">
        <v>565957</v>
      </c>
      <c r="AG178" s="73">
        <v>44085027</v>
      </c>
      <c r="AH178" s="73">
        <v>360806833</v>
      </c>
      <c r="AI178" s="73">
        <v>744262752</v>
      </c>
      <c r="AJ178" s="73">
        <v>416580615</v>
      </c>
      <c r="AK178" s="73">
        <v>84699740</v>
      </c>
      <c r="AL178" s="73">
        <v>458802257</v>
      </c>
      <c r="AM178" s="73">
        <v>45119763</v>
      </c>
      <c r="AN178" s="73">
        <v>221524715</v>
      </c>
      <c r="AO178" s="73">
        <v>75732023</v>
      </c>
      <c r="AP178" s="73">
        <v>211203305</v>
      </c>
      <c r="AQ178" s="73">
        <v>209628489</v>
      </c>
      <c r="AR178" s="73">
        <v>339388418</v>
      </c>
      <c r="AS178" s="73">
        <v>274782897</v>
      </c>
      <c r="AT178" s="73">
        <v>545895787</v>
      </c>
      <c r="AU178" s="73">
        <v>261462928</v>
      </c>
      <c r="AV178">
        <v>677437646</v>
      </c>
      <c r="AW178">
        <v>570611488</v>
      </c>
      <c r="AX178">
        <v>373975958</v>
      </c>
    </row>
    <row r="179" spans="1:50" ht="14.5" x14ac:dyDescent="0.35">
      <c r="A179" s="72" t="s">
        <v>345</v>
      </c>
      <c r="B179" s="72" t="str">
        <f>VLOOKUP(Tabelle_Abfrage_von_MS_Access_Database3[[#This Row],[LAND]],Texte!$A$4:$C$261,Texte!$A$1+1,FALSE)</f>
        <v>Iran</v>
      </c>
      <c r="C179" s="72" t="s">
        <v>508</v>
      </c>
      <c r="D179" s="72" t="s">
        <v>557</v>
      </c>
      <c r="E179" s="73">
        <v>194419000</v>
      </c>
      <c r="F179" s="73">
        <v>55833000</v>
      </c>
      <c r="G179" s="73">
        <v>28589000</v>
      </c>
      <c r="H179" s="73">
        <v>109330000</v>
      </c>
      <c r="I179" s="73">
        <v>67612000</v>
      </c>
      <c r="J179" s="73">
        <v>26013000</v>
      </c>
      <c r="K179" s="73">
        <v>66516000</v>
      </c>
      <c r="L179" s="73">
        <v>97473000</v>
      </c>
      <c r="M179" s="73">
        <v>45306000</v>
      </c>
      <c r="N179" s="73">
        <v>65763000</v>
      </c>
      <c r="O179" s="73">
        <v>79103000</v>
      </c>
      <c r="P179" s="73">
        <v>133108000</v>
      </c>
      <c r="Q179" s="73">
        <v>90966000</v>
      </c>
      <c r="R179" s="73">
        <v>139414000</v>
      </c>
      <c r="S179" s="73">
        <v>98193000</v>
      </c>
      <c r="T179" s="73">
        <v>68796000</v>
      </c>
      <c r="U179" s="73">
        <v>69683000</v>
      </c>
      <c r="V179" s="73">
        <v>46161492</v>
      </c>
      <c r="W179" s="73">
        <v>63939089</v>
      </c>
      <c r="X179" s="73">
        <v>35668414</v>
      </c>
      <c r="Y179" s="73">
        <v>20690609</v>
      </c>
      <c r="Z179" s="73">
        <v>26607993</v>
      </c>
      <c r="AA179" s="73">
        <v>23587281</v>
      </c>
      <c r="AB179" s="73">
        <v>16717300</v>
      </c>
      <c r="AC179" s="73">
        <v>18196942</v>
      </c>
      <c r="AD179" s="73">
        <v>15167457</v>
      </c>
      <c r="AE179" s="73">
        <v>62378640</v>
      </c>
      <c r="AF179" s="73">
        <v>189457569</v>
      </c>
      <c r="AG179" s="73">
        <v>141130653</v>
      </c>
      <c r="AH179" s="73">
        <v>221570815</v>
      </c>
      <c r="AI179" s="73">
        <v>162839366</v>
      </c>
      <c r="AJ179" s="73">
        <v>63506350</v>
      </c>
      <c r="AK179" s="73">
        <v>316464038</v>
      </c>
      <c r="AL179" s="73">
        <v>30253086</v>
      </c>
      <c r="AM179" s="73">
        <v>122164837</v>
      </c>
      <c r="AN179" s="73">
        <v>16452828</v>
      </c>
      <c r="AO179" s="73">
        <v>19253950</v>
      </c>
      <c r="AP179" s="73">
        <v>16162069</v>
      </c>
      <c r="AQ179" s="73">
        <v>100701341</v>
      </c>
      <c r="AR179" s="73">
        <v>119301372</v>
      </c>
      <c r="AS179" s="73">
        <v>457464731</v>
      </c>
      <c r="AT179" s="73">
        <v>15520421</v>
      </c>
      <c r="AU179" s="73">
        <v>12994066</v>
      </c>
      <c r="AV179">
        <v>26536241</v>
      </c>
      <c r="AW179">
        <v>25797458</v>
      </c>
      <c r="AX179">
        <v>15182745</v>
      </c>
    </row>
    <row r="180" spans="1:50" ht="14.5" x14ac:dyDescent="0.35">
      <c r="A180" s="72" t="s">
        <v>347</v>
      </c>
      <c r="B180" s="72" t="str">
        <f>VLOOKUP(Tabelle_Abfrage_von_MS_Access_Database3[[#This Row],[LAND]],Texte!$A$4:$C$261,Texte!$A$1+1,FALSE)</f>
        <v>Israel</v>
      </c>
      <c r="C180" s="72" t="s">
        <v>508</v>
      </c>
      <c r="D180" s="72" t="s">
        <v>557</v>
      </c>
      <c r="E180" s="73">
        <v>40352000</v>
      </c>
      <c r="F180" s="73">
        <v>44696000</v>
      </c>
      <c r="G180" s="73">
        <v>55476000</v>
      </c>
      <c r="H180" s="73">
        <v>61394000</v>
      </c>
      <c r="I180" s="73">
        <v>53017000</v>
      </c>
      <c r="J180" s="73">
        <v>53429000</v>
      </c>
      <c r="K180" s="73">
        <v>58789000</v>
      </c>
      <c r="L180" s="73">
        <v>63120000</v>
      </c>
      <c r="M180" s="73">
        <v>53771000</v>
      </c>
      <c r="N180" s="73">
        <v>47597000</v>
      </c>
      <c r="O180" s="73">
        <v>52458000</v>
      </c>
      <c r="P180" s="73">
        <v>57718000</v>
      </c>
      <c r="Q180" s="73">
        <v>62369000</v>
      </c>
      <c r="R180" s="73">
        <v>61206000</v>
      </c>
      <c r="S180" s="73">
        <v>63787000</v>
      </c>
      <c r="T180" s="73">
        <v>67203000</v>
      </c>
      <c r="U180" s="73">
        <v>80402000</v>
      </c>
      <c r="V180" s="73">
        <v>59054960</v>
      </c>
      <c r="W180" s="73">
        <v>64693282</v>
      </c>
      <c r="X180" s="73">
        <v>71590079</v>
      </c>
      <c r="Y180" s="73">
        <v>82946798</v>
      </c>
      <c r="Z180" s="73">
        <v>113199276</v>
      </c>
      <c r="AA180" s="73">
        <v>119017153</v>
      </c>
      <c r="AB180" s="73">
        <v>97138436</v>
      </c>
      <c r="AC180" s="73">
        <v>103947584</v>
      </c>
      <c r="AD180" s="73">
        <v>83334838</v>
      </c>
      <c r="AE180" s="73">
        <v>88098790</v>
      </c>
      <c r="AF180" s="73">
        <v>85646124</v>
      </c>
      <c r="AG180" s="73">
        <v>97399896</v>
      </c>
      <c r="AH180" s="73">
        <v>122968758</v>
      </c>
      <c r="AI180" s="73">
        <v>115387862</v>
      </c>
      <c r="AJ180" s="73">
        <v>122097653</v>
      </c>
      <c r="AK180" s="73">
        <v>173352736</v>
      </c>
      <c r="AL180" s="73">
        <v>202383331</v>
      </c>
      <c r="AM180" s="73">
        <v>162643273</v>
      </c>
      <c r="AN180" s="73">
        <v>138291792</v>
      </c>
      <c r="AO180" s="73">
        <v>167622604</v>
      </c>
      <c r="AP180" s="73">
        <v>171882200</v>
      </c>
      <c r="AQ180" s="73">
        <v>153216742</v>
      </c>
      <c r="AR180" s="73">
        <v>169937593</v>
      </c>
      <c r="AS180" s="73">
        <v>188827414</v>
      </c>
      <c r="AT180" s="73">
        <v>161952555</v>
      </c>
      <c r="AU180" s="73">
        <v>162417898</v>
      </c>
      <c r="AV180">
        <v>283563649</v>
      </c>
      <c r="AW180">
        <v>280440233</v>
      </c>
      <c r="AX180">
        <v>338510849</v>
      </c>
    </row>
    <row r="181" spans="1:50" ht="14.5" x14ac:dyDescent="0.35">
      <c r="A181" s="72" t="s">
        <v>349</v>
      </c>
      <c r="B181" s="72" t="str">
        <f>VLOOKUP(Tabelle_Abfrage_von_MS_Access_Database3[[#This Row],[LAND]],Texte!$A$4:$C$261,Texte!$A$1+1,FALSE)</f>
        <v>Besetzte palästin.Gebiete</v>
      </c>
      <c r="C181" s="72" t="s">
        <v>525</v>
      </c>
      <c r="D181" s="72" t="s">
        <v>557</v>
      </c>
      <c r="E181" s="73">
        <v>0</v>
      </c>
      <c r="F181" s="73">
        <v>0</v>
      </c>
      <c r="G181" s="73">
        <v>0</v>
      </c>
      <c r="H181" s="73">
        <v>0</v>
      </c>
      <c r="I181" s="73">
        <v>0</v>
      </c>
      <c r="J181" s="73">
        <v>0</v>
      </c>
      <c r="K181" s="73">
        <v>0</v>
      </c>
      <c r="L181" s="73">
        <v>0</v>
      </c>
      <c r="M181" s="73">
        <v>0</v>
      </c>
      <c r="N181" s="73">
        <v>0</v>
      </c>
      <c r="O181" s="73">
        <v>0</v>
      </c>
      <c r="P181" s="73">
        <v>0</v>
      </c>
      <c r="Q181" s="73">
        <v>0</v>
      </c>
      <c r="R181" s="73">
        <v>0</v>
      </c>
      <c r="S181" s="73">
        <v>0</v>
      </c>
      <c r="T181" s="73">
        <v>0</v>
      </c>
      <c r="U181" s="73">
        <v>0</v>
      </c>
      <c r="V181" s="73">
        <v>15915</v>
      </c>
      <c r="W181" s="73">
        <v>56684</v>
      </c>
      <c r="X181" s="73">
        <v>29359</v>
      </c>
      <c r="Y181" s="73">
        <v>120274</v>
      </c>
      <c r="Z181" s="73">
        <v>104067</v>
      </c>
      <c r="AA181" s="73">
        <v>43240</v>
      </c>
      <c r="AB181" s="73">
        <v>102367</v>
      </c>
      <c r="AC181" s="73">
        <v>103242</v>
      </c>
      <c r="AD181" s="73">
        <v>112005</v>
      </c>
      <c r="AE181" s="73">
        <v>234093</v>
      </c>
      <c r="AF181" s="73">
        <v>174168</v>
      </c>
      <c r="AG181" s="73">
        <v>171181</v>
      </c>
      <c r="AH181" s="73">
        <v>317621</v>
      </c>
      <c r="AI181" s="73">
        <v>85297</v>
      </c>
      <c r="AJ181" s="73">
        <v>44770</v>
      </c>
      <c r="AK181" s="73">
        <v>60344</v>
      </c>
      <c r="AL181" s="73">
        <v>146229</v>
      </c>
      <c r="AM181" s="73">
        <v>163679</v>
      </c>
      <c r="AN181" s="73">
        <v>144227</v>
      </c>
      <c r="AO181" s="73">
        <v>254033</v>
      </c>
      <c r="AP181" s="73">
        <v>514499</v>
      </c>
      <c r="AQ181" s="73">
        <v>421020</v>
      </c>
      <c r="AR181" s="73">
        <v>150245</v>
      </c>
      <c r="AS181" s="73">
        <v>186673</v>
      </c>
      <c r="AT181" s="73">
        <v>362536</v>
      </c>
      <c r="AU181" s="73">
        <v>457521</v>
      </c>
      <c r="AV181">
        <v>422676</v>
      </c>
      <c r="AW181">
        <v>272961</v>
      </c>
      <c r="AX181">
        <v>452558</v>
      </c>
    </row>
    <row r="182" spans="1:50" ht="14.5" x14ac:dyDescent="0.35">
      <c r="A182" s="72" t="s">
        <v>351</v>
      </c>
      <c r="B182" s="72" t="str">
        <f>VLOOKUP(Tabelle_Abfrage_von_MS_Access_Database3[[#This Row],[LAND]],Texte!$A$4:$C$261,Texte!$A$1+1,FALSE)</f>
        <v>Timor-Leste</v>
      </c>
      <c r="C182" s="72" t="s">
        <v>508</v>
      </c>
      <c r="D182" s="72" t="s">
        <v>557</v>
      </c>
      <c r="E182" s="73">
        <v>0</v>
      </c>
      <c r="F182" s="73">
        <v>7000</v>
      </c>
      <c r="G182" s="73">
        <v>0</v>
      </c>
      <c r="H182" s="73">
        <v>0</v>
      </c>
      <c r="I182" s="73">
        <v>36000</v>
      </c>
      <c r="J182" s="73">
        <v>0</v>
      </c>
      <c r="K182" s="73">
        <v>90000</v>
      </c>
      <c r="L182" s="73">
        <v>0</v>
      </c>
      <c r="M182" s="73">
        <v>0</v>
      </c>
      <c r="N182" s="73">
        <v>0</v>
      </c>
      <c r="O182" s="73">
        <v>0</v>
      </c>
      <c r="P182" s="73">
        <v>0</v>
      </c>
      <c r="Q182" s="73">
        <v>0</v>
      </c>
      <c r="R182" s="73">
        <v>0</v>
      </c>
      <c r="S182" s="73">
        <v>0</v>
      </c>
      <c r="T182" s="73">
        <v>0</v>
      </c>
      <c r="U182" s="73">
        <v>0</v>
      </c>
      <c r="V182" s="74"/>
      <c r="W182" s="74"/>
      <c r="X182" s="74"/>
      <c r="Y182" s="74"/>
      <c r="Z182" s="74"/>
      <c r="AA182" s="74"/>
      <c r="AB182" s="73">
        <v>0</v>
      </c>
      <c r="AC182" s="73">
        <v>1868</v>
      </c>
      <c r="AD182" s="73">
        <v>2542</v>
      </c>
      <c r="AE182" s="73">
        <v>2176</v>
      </c>
      <c r="AF182" s="73">
        <v>0</v>
      </c>
      <c r="AG182" s="73">
        <v>44711</v>
      </c>
      <c r="AH182" s="73">
        <v>213</v>
      </c>
      <c r="AI182" s="73">
        <v>603</v>
      </c>
      <c r="AJ182" s="73">
        <v>119</v>
      </c>
      <c r="AK182" s="73">
        <v>0</v>
      </c>
      <c r="AL182" s="73">
        <v>2249</v>
      </c>
      <c r="AM182" s="73">
        <v>0</v>
      </c>
      <c r="AN182" s="74"/>
      <c r="AO182" s="73">
        <v>0</v>
      </c>
      <c r="AP182" s="73">
        <v>0</v>
      </c>
      <c r="AQ182" s="74"/>
      <c r="AR182" s="73">
        <v>0</v>
      </c>
      <c r="AS182" s="73">
        <v>607</v>
      </c>
      <c r="AT182" s="73">
        <v>0</v>
      </c>
      <c r="AU182" s="73">
        <v>0</v>
      </c>
      <c r="AV182">
        <v>4403</v>
      </c>
      <c r="AW182">
        <v>4345</v>
      </c>
      <c r="AX182">
        <v>2807</v>
      </c>
    </row>
    <row r="183" spans="1:50" ht="14.5" x14ac:dyDescent="0.35">
      <c r="A183" s="72" t="s">
        <v>353</v>
      </c>
      <c r="B183" s="72" t="str">
        <f>VLOOKUP(Tabelle_Abfrage_von_MS_Access_Database3[[#This Row],[LAND]],Texte!$A$4:$C$261,Texte!$A$1+1,FALSE)</f>
        <v>Jordanien</v>
      </c>
      <c r="C183" s="72" t="s">
        <v>508</v>
      </c>
      <c r="D183" s="72" t="s">
        <v>557</v>
      </c>
      <c r="E183" s="73">
        <v>17000</v>
      </c>
      <c r="F183" s="73">
        <v>102000</v>
      </c>
      <c r="G183" s="73">
        <v>6000</v>
      </c>
      <c r="H183" s="73">
        <v>14000</v>
      </c>
      <c r="I183" s="73">
        <v>12000</v>
      </c>
      <c r="J183" s="73">
        <v>3841000</v>
      </c>
      <c r="K183" s="73">
        <v>10662000</v>
      </c>
      <c r="L183" s="73">
        <v>1337000</v>
      </c>
      <c r="M183" s="73">
        <v>269000</v>
      </c>
      <c r="N183" s="73">
        <v>103000</v>
      </c>
      <c r="O183" s="73">
        <v>199000</v>
      </c>
      <c r="P183" s="73">
        <v>962000</v>
      </c>
      <c r="Q183" s="73">
        <v>4258000</v>
      </c>
      <c r="R183" s="73">
        <v>567000</v>
      </c>
      <c r="S183" s="73">
        <v>437000</v>
      </c>
      <c r="T183" s="73">
        <v>735000</v>
      </c>
      <c r="U183" s="73">
        <v>354000</v>
      </c>
      <c r="V183" s="73">
        <v>1352148</v>
      </c>
      <c r="W183" s="73">
        <v>2109182</v>
      </c>
      <c r="X183" s="73">
        <v>1455859</v>
      </c>
      <c r="Y183" s="73">
        <v>789446</v>
      </c>
      <c r="Z183" s="73">
        <v>1459925</v>
      </c>
      <c r="AA183" s="73">
        <v>254869</v>
      </c>
      <c r="AB183" s="73">
        <v>650356</v>
      </c>
      <c r="AC183" s="73">
        <v>777612</v>
      </c>
      <c r="AD183" s="73">
        <v>1058910</v>
      </c>
      <c r="AE183" s="73">
        <v>462346</v>
      </c>
      <c r="AF183" s="73">
        <v>884885</v>
      </c>
      <c r="AG183" s="73">
        <v>2494558</v>
      </c>
      <c r="AH183" s="73">
        <v>3025942</v>
      </c>
      <c r="AI183" s="73">
        <v>3504678</v>
      </c>
      <c r="AJ183" s="73">
        <v>6183766</v>
      </c>
      <c r="AK183" s="73">
        <v>3366988</v>
      </c>
      <c r="AL183" s="73">
        <v>5996851</v>
      </c>
      <c r="AM183" s="73">
        <v>6040328</v>
      </c>
      <c r="AN183" s="73">
        <v>3247169</v>
      </c>
      <c r="AO183" s="73">
        <v>2605356</v>
      </c>
      <c r="AP183" s="73">
        <v>6602093</v>
      </c>
      <c r="AQ183" s="73">
        <v>6542074</v>
      </c>
      <c r="AR183" s="73">
        <v>7829249</v>
      </c>
      <c r="AS183" s="73">
        <v>4700758</v>
      </c>
      <c r="AT183" s="73">
        <v>6481260</v>
      </c>
      <c r="AU183" s="73">
        <v>5077742</v>
      </c>
      <c r="AV183">
        <v>8313345</v>
      </c>
      <c r="AW183">
        <v>9185066</v>
      </c>
      <c r="AX183">
        <v>8419326</v>
      </c>
    </row>
    <row r="184" spans="1:50" ht="14.5" x14ac:dyDescent="0.35">
      <c r="A184" s="72" t="s">
        <v>355</v>
      </c>
      <c r="B184" s="72" t="str">
        <f>VLOOKUP(Tabelle_Abfrage_von_MS_Access_Database3[[#This Row],[LAND]],Texte!$A$4:$C$261,Texte!$A$1+1,FALSE)</f>
        <v>Saudi-Arabien</v>
      </c>
      <c r="C184" s="72" t="s">
        <v>508</v>
      </c>
      <c r="D184" s="72" t="s">
        <v>557</v>
      </c>
      <c r="E184" s="73">
        <v>47615000</v>
      </c>
      <c r="F184" s="73">
        <v>149535000</v>
      </c>
      <c r="G184" s="73">
        <v>430862000</v>
      </c>
      <c r="H184" s="73">
        <v>917329000</v>
      </c>
      <c r="I184" s="73">
        <v>586279000</v>
      </c>
      <c r="J184" s="73">
        <v>350470000</v>
      </c>
      <c r="K184" s="73">
        <v>217233000</v>
      </c>
      <c r="L184" s="73">
        <v>170084000</v>
      </c>
      <c r="M184" s="73">
        <v>58023000</v>
      </c>
      <c r="N184" s="73">
        <v>36680000</v>
      </c>
      <c r="O184" s="73">
        <v>29865000</v>
      </c>
      <c r="P184" s="73">
        <v>27221000</v>
      </c>
      <c r="Q184" s="73">
        <v>34777000</v>
      </c>
      <c r="R184" s="73">
        <v>37115000</v>
      </c>
      <c r="S184" s="73">
        <v>114147000</v>
      </c>
      <c r="T184" s="73">
        <v>153929000</v>
      </c>
      <c r="U184" s="73">
        <v>162480000</v>
      </c>
      <c r="V184" s="73">
        <v>126050229</v>
      </c>
      <c r="W184" s="73">
        <v>132549652</v>
      </c>
      <c r="X184" s="73">
        <v>143773464</v>
      </c>
      <c r="Y184" s="73">
        <v>85896529</v>
      </c>
      <c r="Z184" s="73">
        <v>64879112</v>
      </c>
      <c r="AA184" s="73">
        <v>133128783</v>
      </c>
      <c r="AB184" s="73">
        <v>139850100</v>
      </c>
      <c r="AC184" s="73">
        <v>166270923</v>
      </c>
      <c r="AD184" s="73">
        <v>300385344</v>
      </c>
      <c r="AE184" s="73">
        <v>307274187</v>
      </c>
      <c r="AF184" s="73">
        <v>339254590</v>
      </c>
      <c r="AG184" s="73">
        <v>303279318</v>
      </c>
      <c r="AH184" s="73">
        <v>224144794</v>
      </c>
      <c r="AI184" s="73">
        <v>260044722</v>
      </c>
      <c r="AJ184" s="73">
        <v>118734365</v>
      </c>
      <c r="AK184" s="73">
        <v>41778239</v>
      </c>
      <c r="AL184" s="73">
        <v>497928990</v>
      </c>
      <c r="AM184" s="73">
        <v>551096338</v>
      </c>
      <c r="AN184" s="73">
        <v>370543816</v>
      </c>
      <c r="AO184" s="73">
        <v>450115388</v>
      </c>
      <c r="AP184" s="73">
        <v>271264235</v>
      </c>
      <c r="AQ184" s="73">
        <v>176713500</v>
      </c>
      <c r="AR184" s="73">
        <v>64195650</v>
      </c>
      <c r="AS184" s="73">
        <v>59721581</v>
      </c>
      <c r="AT184" s="73">
        <v>29006882</v>
      </c>
      <c r="AU184" s="73">
        <v>100797298</v>
      </c>
      <c r="AV184">
        <v>23602557</v>
      </c>
      <c r="AW184">
        <v>179698991</v>
      </c>
      <c r="AX184">
        <v>442351155</v>
      </c>
    </row>
    <row r="185" spans="1:50" ht="14.5" x14ac:dyDescent="0.35">
      <c r="A185" s="72" t="s">
        <v>357</v>
      </c>
      <c r="B185" s="72" t="str">
        <f>VLOOKUP(Tabelle_Abfrage_von_MS_Access_Database3[[#This Row],[LAND]],Texte!$A$4:$C$261,Texte!$A$1+1,FALSE)</f>
        <v>Kuwait</v>
      </c>
      <c r="C185" s="72" t="s">
        <v>508</v>
      </c>
      <c r="D185" s="72" t="s">
        <v>557</v>
      </c>
      <c r="E185" s="73">
        <v>210000</v>
      </c>
      <c r="F185" s="73">
        <v>9428000</v>
      </c>
      <c r="G185" s="73">
        <v>10515000</v>
      </c>
      <c r="H185" s="73">
        <v>819000</v>
      </c>
      <c r="I185" s="73">
        <v>394000</v>
      </c>
      <c r="J185" s="73">
        <v>65000</v>
      </c>
      <c r="K185" s="73">
        <v>47000</v>
      </c>
      <c r="L185" s="73">
        <v>242000</v>
      </c>
      <c r="M185" s="73">
        <v>213000</v>
      </c>
      <c r="N185" s="73">
        <v>9000</v>
      </c>
      <c r="O185" s="73">
        <v>15961000</v>
      </c>
      <c r="P185" s="73">
        <v>10910000</v>
      </c>
      <c r="Q185" s="73">
        <v>267000</v>
      </c>
      <c r="R185" s="73">
        <v>0</v>
      </c>
      <c r="S185" s="73">
        <v>11000</v>
      </c>
      <c r="T185" s="73">
        <v>150000</v>
      </c>
      <c r="U185" s="73">
        <v>64000</v>
      </c>
      <c r="V185" s="73">
        <v>49635</v>
      </c>
      <c r="W185" s="73">
        <v>32849</v>
      </c>
      <c r="X185" s="73">
        <v>1006519</v>
      </c>
      <c r="Y185" s="73">
        <v>699258</v>
      </c>
      <c r="Z185" s="73">
        <v>643008</v>
      </c>
      <c r="AA185" s="73">
        <v>87064</v>
      </c>
      <c r="AB185" s="73">
        <v>76415</v>
      </c>
      <c r="AC185" s="73">
        <v>313411</v>
      </c>
      <c r="AD185" s="73">
        <v>257660</v>
      </c>
      <c r="AE185" s="73">
        <v>164034</v>
      </c>
      <c r="AF185" s="73">
        <v>355667</v>
      </c>
      <c r="AG185" s="73">
        <v>293015</v>
      </c>
      <c r="AH185" s="73">
        <v>533410</v>
      </c>
      <c r="AI185" s="73">
        <v>1116629</v>
      </c>
      <c r="AJ185" s="73">
        <v>457536</v>
      </c>
      <c r="AK185" s="73">
        <v>621983</v>
      </c>
      <c r="AL185" s="73">
        <v>2346141</v>
      </c>
      <c r="AM185" s="73">
        <v>246417883</v>
      </c>
      <c r="AN185" s="73">
        <v>231800550</v>
      </c>
      <c r="AO185" s="73">
        <v>254577535</v>
      </c>
      <c r="AP185" s="73">
        <v>21252726</v>
      </c>
      <c r="AQ185" s="73">
        <v>801265</v>
      </c>
      <c r="AR185" s="73">
        <v>1272368</v>
      </c>
      <c r="AS185" s="73">
        <v>2503850</v>
      </c>
      <c r="AT185" s="73">
        <v>3178711</v>
      </c>
      <c r="AU185" s="73">
        <v>2040176</v>
      </c>
      <c r="AV185">
        <v>1837545</v>
      </c>
      <c r="AW185">
        <v>5059526</v>
      </c>
      <c r="AX185">
        <v>3802063</v>
      </c>
    </row>
    <row r="186" spans="1:50" ht="14.5" x14ac:dyDescent="0.35">
      <c r="A186" s="72" t="s">
        <v>359</v>
      </c>
      <c r="B186" s="72" t="str">
        <f>VLOOKUP(Tabelle_Abfrage_von_MS_Access_Database3[[#This Row],[LAND]],Texte!$A$4:$C$261,Texte!$A$1+1,FALSE)</f>
        <v>Bahrain</v>
      </c>
      <c r="C186" s="72" t="s">
        <v>508</v>
      </c>
      <c r="D186" s="72" t="s">
        <v>557</v>
      </c>
      <c r="E186" s="73">
        <v>2000</v>
      </c>
      <c r="F186" s="73">
        <v>4000</v>
      </c>
      <c r="G186" s="73">
        <v>14000</v>
      </c>
      <c r="H186" s="73">
        <v>0</v>
      </c>
      <c r="I186" s="73">
        <v>5000</v>
      </c>
      <c r="J186" s="73">
        <v>4000</v>
      </c>
      <c r="K186" s="73">
        <v>22000</v>
      </c>
      <c r="L186" s="73">
        <v>4545000</v>
      </c>
      <c r="M186" s="73">
        <v>4085000</v>
      </c>
      <c r="N186" s="73">
        <v>125000</v>
      </c>
      <c r="O186" s="73">
        <v>11000</v>
      </c>
      <c r="P186" s="73">
        <v>1327000</v>
      </c>
      <c r="Q186" s="73">
        <v>82000</v>
      </c>
      <c r="R186" s="73">
        <v>213000</v>
      </c>
      <c r="S186" s="73">
        <v>144000</v>
      </c>
      <c r="T186" s="73">
        <v>245000</v>
      </c>
      <c r="U186" s="73">
        <v>123000</v>
      </c>
      <c r="V186" s="73">
        <v>95349</v>
      </c>
      <c r="W186" s="73">
        <v>190837</v>
      </c>
      <c r="X186" s="73">
        <v>2468187</v>
      </c>
      <c r="Y186" s="73">
        <v>1721911</v>
      </c>
      <c r="Z186" s="73">
        <v>890825</v>
      </c>
      <c r="AA186" s="73">
        <v>1648872</v>
      </c>
      <c r="AB186" s="73">
        <v>2096321</v>
      </c>
      <c r="AC186" s="73">
        <v>1613645</v>
      </c>
      <c r="AD186" s="73">
        <v>2429215</v>
      </c>
      <c r="AE186" s="73">
        <v>2286614</v>
      </c>
      <c r="AF186" s="73">
        <v>1693030</v>
      </c>
      <c r="AG186" s="73">
        <v>1156381</v>
      </c>
      <c r="AH186" s="73">
        <v>2631221</v>
      </c>
      <c r="AI186" s="73">
        <v>2364766</v>
      </c>
      <c r="AJ186" s="73">
        <v>3276128</v>
      </c>
      <c r="AK186" s="73">
        <v>3746797</v>
      </c>
      <c r="AL186" s="73">
        <v>5999409</v>
      </c>
      <c r="AM186" s="73">
        <v>13645336</v>
      </c>
      <c r="AN186" s="73">
        <v>10940595</v>
      </c>
      <c r="AO186" s="73">
        <v>18409270</v>
      </c>
      <c r="AP186" s="73">
        <v>28908998</v>
      </c>
      <c r="AQ186" s="73">
        <v>32422957</v>
      </c>
      <c r="AR186" s="73">
        <v>30647573</v>
      </c>
      <c r="AS186" s="73">
        <v>39579046</v>
      </c>
      <c r="AT186" s="73">
        <v>33631465</v>
      </c>
      <c r="AU186" s="73">
        <v>25060977</v>
      </c>
      <c r="AV186">
        <v>42056852</v>
      </c>
      <c r="AW186">
        <v>55252503</v>
      </c>
      <c r="AX186">
        <v>64209233</v>
      </c>
    </row>
    <row r="187" spans="1:50" ht="14.5" x14ac:dyDescent="0.35">
      <c r="A187" s="72" t="s">
        <v>361</v>
      </c>
      <c r="B187" s="72" t="str">
        <f>VLOOKUP(Tabelle_Abfrage_von_MS_Access_Database3[[#This Row],[LAND]],Texte!$A$4:$C$261,Texte!$A$1+1,FALSE)</f>
        <v>Katar</v>
      </c>
      <c r="C187" s="72" t="s">
        <v>508</v>
      </c>
      <c r="D187" s="72" t="s">
        <v>557</v>
      </c>
      <c r="E187" s="73">
        <v>5000</v>
      </c>
      <c r="F187" s="73">
        <v>0</v>
      </c>
      <c r="G187" s="73">
        <v>0</v>
      </c>
      <c r="H187" s="73">
        <v>2000</v>
      </c>
      <c r="I187" s="73">
        <v>0</v>
      </c>
      <c r="J187" s="73">
        <v>9000</v>
      </c>
      <c r="K187" s="73">
        <v>5000</v>
      </c>
      <c r="L187" s="73">
        <v>29000</v>
      </c>
      <c r="M187" s="73">
        <v>3000</v>
      </c>
      <c r="N187" s="73">
        <v>15000</v>
      </c>
      <c r="O187" s="73">
        <v>7000</v>
      </c>
      <c r="P187" s="73">
        <v>2000</v>
      </c>
      <c r="Q187" s="73">
        <v>298000</v>
      </c>
      <c r="R187" s="73">
        <v>0</v>
      </c>
      <c r="S187" s="73">
        <v>0</v>
      </c>
      <c r="T187" s="73">
        <v>38000</v>
      </c>
      <c r="U187" s="73">
        <v>21000</v>
      </c>
      <c r="V187" s="73">
        <v>10102</v>
      </c>
      <c r="W187" s="73">
        <v>11482</v>
      </c>
      <c r="X187" s="73">
        <v>58357</v>
      </c>
      <c r="Y187" s="73">
        <v>58427</v>
      </c>
      <c r="Z187" s="73">
        <v>56103</v>
      </c>
      <c r="AA187" s="73">
        <v>121652</v>
      </c>
      <c r="AB187" s="73">
        <v>144431</v>
      </c>
      <c r="AC187" s="73">
        <v>71634</v>
      </c>
      <c r="AD187" s="73">
        <v>68640</v>
      </c>
      <c r="AE187" s="73">
        <v>191986</v>
      </c>
      <c r="AF187" s="73">
        <v>2879528</v>
      </c>
      <c r="AG187" s="73">
        <v>712115</v>
      </c>
      <c r="AH187" s="73">
        <v>682125</v>
      </c>
      <c r="AI187" s="73">
        <v>1304006</v>
      </c>
      <c r="AJ187" s="73">
        <v>1498290</v>
      </c>
      <c r="AK187" s="73">
        <v>3070237</v>
      </c>
      <c r="AL187" s="73">
        <v>6063054</v>
      </c>
      <c r="AM187" s="73">
        <v>9477749</v>
      </c>
      <c r="AN187" s="73">
        <v>11166720</v>
      </c>
      <c r="AO187" s="73">
        <v>26728479</v>
      </c>
      <c r="AP187" s="73">
        <v>35079381</v>
      </c>
      <c r="AQ187" s="73">
        <v>13069170</v>
      </c>
      <c r="AR187" s="73">
        <v>21996863</v>
      </c>
      <c r="AS187" s="73">
        <v>17412060</v>
      </c>
      <c r="AT187" s="73">
        <v>11090305</v>
      </c>
      <c r="AU187" s="73">
        <v>5614313</v>
      </c>
      <c r="AV187">
        <v>8546116</v>
      </c>
      <c r="AW187">
        <v>12321733</v>
      </c>
      <c r="AX187">
        <v>18091406</v>
      </c>
    </row>
    <row r="188" spans="1:50" ht="14.5" x14ac:dyDescent="0.35">
      <c r="A188" s="72" t="s">
        <v>363</v>
      </c>
      <c r="B188" s="72" t="str">
        <f>VLOOKUP(Tabelle_Abfrage_von_MS_Access_Database3[[#This Row],[LAND]],Texte!$A$4:$C$261,Texte!$A$1+1,FALSE)</f>
        <v>Vereinigte Arab.Emirate</v>
      </c>
      <c r="C188" s="72" t="s">
        <v>508</v>
      </c>
      <c r="D188" s="72" t="s">
        <v>557</v>
      </c>
      <c r="E188" s="73">
        <v>77000</v>
      </c>
      <c r="F188" s="73">
        <v>75000</v>
      </c>
      <c r="G188" s="73">
        <v>24444000</v>
      </c>
      <c r="H188" s="73">
        <v>36069000</v>
      </c>
      <c r="I188" s="73">
        <v>543000</v>
      </c>
      <c r="J188" s="73">
        <v>591000</v>
      </c>
      <c r="K188" s="73">
        <v>632000</v>
      </c>
      <c r="L188" s="73">
        <v>339000</v>
      </c>
      <c r="M188" s="73">
        <v>880000</v>
      </c>
      <c r="N188" s="73">
        <v>1533000</v>
      </c>
      <c r="O188" s="73">
        <v>350000</v>
      </c>
      <c r="P188" s="73">
        <v>2623000</v>
      </c>
      <c r="Q188" s="73">
        <v>1734000</v>
      </c>
      <c r="R188" s="73">
        <v>2818000</v>
      </c>
      <c r="S188" s="73">
        <v>23397000</v>
      </c>
      <c r="T188" s="73">
        <v>12761000</v>
      </c>
      <c r="U188" s="73">
        <v>6005000</v>
      </c>
      <c r="V188" s="73">
        <v>15288399</v>
      </c>
      <c r="W188" s="73">
        <v>21038352</v>
      </c>
      <c r="X188" s="73">
        <v>32180477</v>
      </c>
      <c r="Y188" s="73">
        <v>5454972</v>
      </c>
      <c r="Z188" s="73">
        <v>5587524</v>
      </c>
      <c r="AA188" s="73">
        <v>7144535</v>
      </c>
      <c r="AB188" s="73">
        <v>10147332</v>
      </c>
      <c r="AC188" s="73">
        <v>6538406</v>
      </c>
      <c r="AD188" s="73">
        <v>8727124</v>
      </c>
      <c r="AE188" s="73">
        <v>7894693</v>
      </c>
      <c r="AF188" s="73">
        <v>25291897</v>
      </c>
      <c r="AG188" s="73">
        <v>53096956</v>
      </c>
      <c r="AH188" s="73">
        <v>37575874</v>
      </c>
      <c r="AI188" s="73">
        <v>21814247</v>
      </c>
      <c r="AJ188" s="73">
        <v>19504114</v>
      </c>
      <c r="AK188" s="73">
        <v>39023820</v>
      </c>
      <c r="AL188" s="73">
        <v>73118333</v>
      </c>
      <c r="AM188" s="73">
        <v>121898823</v>
      </c>
      <c r="AN188" s="73">
        <v>158401891</v>
      </c>
      <c r="AO188" s="73">
        <v>179750611</v>
      </c>
      <c r="AP188" s="73">
        <v>145569677</v>
      </c>
      <c r="AQ188" s="73">
        <v>177253781</v>
      </c>
      <c r="AR188" s="73">
        <v>114473421</v>
      </c>
      <c r="AS188" s="73">
        <v>97592997</v>
      </c>
      <c r="AT188" s="73">
        <v>101369113</v>
      </c>
      <c r="AU188" s="73">
        <v>82702998</v>
      </c>
      <c r="AV188">
        <v>80961041</v>
      </c>
      <c r="AW188">
        <v>195609891</v>
      </c>
      <c r="AX188">
        <v>235943090</v>
      </c>
    </row>
    <row r="189" spans="1:50" ht="14.5" x14ac:dyDescent="0.35">
      <c r="A189" s="72" t="s">
        <v>365</v>
      </c>
      <c r="B189" s="72" t="str">
        <f>VLOOKUP(Tabelle_Abfrage_von_MS_Access_Database3[[#This Row],[LAND]],Texte!$A$4:$C$261,Texte!$A$1+1,FALSE)</f>
        <v>Oman</v>
      </c>
      <c r="C189" s="72" t="s">
        <v>508</v>
      </c>
      <c r="D189" s="72" t="s">
        <v>557</v>
      </c>
      <c r="E189" s="73">
        <v>1000</v>
      </c>
      <c r="F189" s="73">
        <v>6000</v>
      </c>
      <c r="G189" s="73">
        <v>1000</v>
      </c>
      <c r="H189" s="73">
        <v>3000</v>
      </c>
      <c r="I189" s="73">
        <v>12000</v>
      </c>
      <c r="J189" s="73">
        <v>2000</v>
      </c>
      <c r="K189" s="73">
        <v>248000</v>
      </c>
      <c r="L189" s="73">
        <v>12000</v>
      </c>
      <c r="M189" s="73">
        <v>218000</v>
      </c>
      <c r="N189" s="73">
        <v>26000</v>
      </c>
      <c r="O189" s="73">
        <v>86000</v>
      </c>
      <c r="P189" s="73">
        <v>63000</v>
      </c>
      <c r="Q189" s="73">
        <v>20000</v>
      </c>
      <c r="R189" s="73">
        <v>44000</v>
      </c>
      <c r="S189" s="73">
        <v>74000</v>
      </c>
      <c r="T189" s="73">
        <v>24000</v>
      </c>
      <c r="U189" s="73">
        <v>106000</v>
      </c>
      <c r="V189" s="73">
        <v>38006</v>
      </c>
      <c r="W189" s="73">
        <v>23763</v>
      </c>
      <c r="X189" s="73">
        <v>848020</v>
      </c>
      <c r="Y189" s="73">
        <v>64750</v>
      </c>
      <c r="Z189" s="73">
        <v>98108</v>
      </c>
      <c r="AA189" s="73">
        <v>218888</v>
      </c>
      <c r="AB189" s="73">
        <v>71613</v>
      </c>
      <c r="AC189" s="73">
        <v>158439</v>
      </c>
      <c r="AD189" s="73">
        <v>1611910</v>
      </c>
      <c r="AE189" s="73">
        <v>513038</v>
      </c>
      <c r="AF189" s="73">
        <v>475418</v>
      </c>
      <c r="AG189" s="73">
        <v>283090</v>
      </c>
      <c r="AH189" s="73">
        <v>391365</v>
      </c>
      <c r="AI189" s="73">
        <v>456195</v>
      </c>
      <c r="AJ189" s="73">
        <v>2125040</v>
      </c>
      <c r="AK189" s="73">
        <v>885663</v>
      </c>
      <c r="AL189" s="73">
        <v>6086804</v>
      </c>
      <c r="AM189" s="73">
        <v>3237485</v>
      </c>
      <c r="AN189" s="73">
        <v>6285353</v>
      </c>
      <c r="AO189" s="73">
        <v>2140077</v>
      </c>
      <c r="AP189" s="73">
        <v>2016234</v>
      </c>
      <c r="AQ189" s="73">
        <v>1297057</v>
      </c>
      <c r="AR189" s="73">
        <v>1235219</v>
      </c>
      <c r="AS189" s="73">
        <v>2140378</v>
      </c>
      <c r="AT189" s="73">
        <v>1221749</v>
      </c>
      <c r="AU189" s="73">
        <v>1478147</v>
      </c>
      <c r="AV189">
        <v>1413473</v>
      </c>
      <c r="AW189">
        <v>4733019</v>
      </c>
      <c r="AX189">
        <v>5625150</v>
      </c>
    </row>
    <row r="190" spans="1:50" ht="14.5" x14ac:dyDescent="0.35">
      <c r="A190" s="72" t="s">
        <v>367</v>
      </c>
      <c r="B190" s="72" t="str">
        <f>VLOOKUP(Tabelle_Abfrage_von_MS_Access_Database3[[#This Row],[LAND]],Texte!$A$4:$C$261,Texte!$A$1+1,FALSE)</f>
        <v>Jemen</v>
      </c>
      <c r="C190" s="72" t="s">
        <v>508</v>
      </c>
      <c r="D190" s="72" t="s">
        <v>557</v>
      </c>
      <c r="E190" s="73">
        <v>221000</v>
      </c>
      <c r="F190" s="73">
        <v>1110000</v>
      </c>
      <c r="G190" s="73">
        <v>1037000</v>
      </c>
      <c r="H190" s="73">
        <v>860000</v>
      </c>
      <c r="I190" s="73">
        <v>89000</v>
      </c>
      <c r="J190" s="73">
        <v>135000</v>
      </c>
      <c r="K190" s="73">
        <v>4000</v>
      </c>
      <c r="L190" s="73">
        <v>7000</v>
      </c>
      <c r="M190" s="73">
        <v>39000</v>
      </c>
      <c r="N190" s="73">
        <v>3000</v>
      </c>
      <c r="O190" s="73">
        <v>14601000</v>
      </c>
      <c r="P190" s="73">
        <v>35774000</v>
      </c>
      <c r="Q190" s="73">
        <v>44500000</v>
      </c>
      <c r="R190" s="73">
        <v>77167000</v>
      </c>
      <c r="S190" s="73">
        <v>62514000</v>
      </c>
      <c r="T190" s="73">
        <v>3775000</v>
      </c>
      <c r="U190" s="73">
        <v>38244000</v>
      </c>
      <c r="V190" s="73">
        <v>3764816</v>
      </c>
      <c r="W190" s="73">
        <v>1935423</v>
      </c>
      <c r="X190" s="73">
        <v>4077090</v>
      </c>
      <c r="Y190" s="73">
        <v>240909</v>
      </c>
      <c r="Z190" s="73">
        <v>34158</v>
      </c>
      <c r="AA190" s="73">
        <v>5455332</v>
      </c>
      <c r="AB190" s="73">
        <v>18989</v>
      </c>
      <c r="AC190" s="73">
        <v>22101</v>
      </c>
      <c r="AD190" s="73">
        <v>16495</v>
      </c>
      <c r="AE190" s="73">
        <v>64113</v>
      </c>
      <c r="AF190" s="73">
        <v>371499</v>
      </c>
      <c r="AG190" s="73">
        <v>1182566</v>
      </c>
      <c r="AH190" s="73">
        <v>388208</v>
      </c>
      <c r="AI190" s="73">
        <v>79180</v>
      </c>
      <c r="AJ190" s="73">
        <v>201131</v>
      </c>
      <c r="AK190" s="73">
        <v>428256</v>
      </c>
      <c r="AL190" s="73">
        <v>489174</v>
      </c>
      <c r="AM190" s="73">
        <v>76687</v>
      </c>
      <c r="AN190" s="73">
        <v>6561</v>
      </c>
      <c r="AO190" s="73">
        <v>24004721</v>
      </c>
      <c r="AP190" s="73">
        <v>169066</v>
      </c>
      <c r="AQ190" s="73">
        <v>9715</v>
      </c>
      <c r="AR190" s="73">
        <v>275486</v>
      </c>
      <c r="AS190" s="73">
        <v>83721</v>
      </c>
      <c r="AT190" s="73">
        <v>43578566</v>
      </c>
      <c r="AU190" s="73">
        <v>14041562</v>
      </c>
      <c r="AV190">
        <v>122341999</v>
      </c>
      <c r="AW190">
        <v>4647763</v>
      </c>
      <c r="AX190">
        <v>43674</v>
      </c>
    </row>
    <row r="191" spans="1:50" ht="14.5" x14ac:dyDescent="0.35">
      <c r="A191" s="72" t="s">
        <v>369</v>
      </c>
      <c r="B191" s="72" t="str">
        <f>VLOOKUP(Tabelle_Abfrage_von_MS_Access_Database3[[#This Row],[LAND]],Texte!$A$4:$C$261,Texte!$A$1+1,FALSE)</f>
        <v>Afghanistan</v>
      </c>
      <c r="C191" s="72" t="s">
        <v>508</v>
      </c>
      <c r="D191" s="72" t="s">
        <v>557</v>
      </c>
      <c r="E191" s="73">
        <v>3309000</v>
      </c>
      <c r="F191" s="73">
        <v>3204000</v>
      </c>
      <c r="G191" s="73">
        <v>4195000</v>
      </c>
      <c r="H191" s="73">
        <v>2985000</v>
      </c>
      <c r="I191" s="73">
        <v>3409000</v>
      </c>
      <c r="J191" s="73">
        <v>3278000</v>
      </c>
      <c r="K191" s="73">
        <v>3404000</v>
      </c>
      <c r="L191" s="73">
        <v>2981000</v>
      </c>
      <c r="M191" s="73">
        <v>3574000</v>
      </c>
      <c r="N191" s="73">
        <v>4186000</v>
      </c>
      <c r="O191" s="73">
        <v>2443000</v>
      </c>
      <c r="P191" s="73">
        <v>1797000</v>
      </c>
      <c r="Q191" s="73">
        <v>1663000</v>
      </c>
      <c r="R191" s="73">
        <v>1308000</v>
      </c>
      <c r="S191" s="73">
        <v>791000</v>
      </c>
      <c r="T191" s="73">
        <v>731000</v>
      </c>
      <c r="U191" s="73">
        <v>860000</v>
      </c>
      <c r="V191" s="73">
        <v>308715</v>
      </c>
      <c r="W191" s="73">
        <v>391562</v>
      </c>
      <c r="X191" s="73">
        <v>142147</v>
      </c>
      <c r="Y191" s="73">
        <v>133719</v>
      </c>
      <c r="Z191" s="73">
        <v>133645</v>
      </c>
      <c r="AA191" s="73">
        <v>321867</v>
      </c>
      <c r="AB191" s="73">
        <v>288585</v>
      </c>
      <c r="AC191" s="73">
        <v>156525</v>
      </c>
      <c r="AD191" s="73">
        <v>352665</v>
      </c>
      <c r="AE191" s="73">
        <v>181137</v>
      </c>
      <c r="AF191" s="73">
        <v>42155</v>
      </c>
      <c r="AG191" s="73">
        <v>147132</v>
      </c>
      <c r="AH191" s="73">
        <v>185699</v>
      </c>
      <c r="AI191" s="73">
        <v>43989</v>
      </c>
      <c r="AJ191" s="73">
        <v>29026</v>
      </c>
      <c r="AK191" s="73">
        <v>75866</v>
      </c>
      <c r="AL191" s="73">
        <v>107617</v>
      </c>
      <c r="AM191" s="73">
        <v>224513</v>
      </c>
      <c r="AN191" s="73">
        <v>149609</v>
      </c>
      <c r="AO191" s="73">
        <v>183220</v>
      </c>
      <c r="AP191" s="73">
        <v>190435</v>
      </c>
      <c r="AQ191" s="73">
        <v>397382</v>
      </c>
      <c r="AR191" s="73">
        <v>230411</v>
      </c>
      <c r="AS191" s="73">
        <v>444278</v>
      </c>
      <c r="AT191" s="73">
        <v>1321798</v>
      </c>
      <c r="AU191" s="73">
        <v>1530014</v>
      </c>
      <c r="AV191">
        <v>2736675</v>
      </c>
      <c r="AW191">
        <v>2599869</v>
      </c>
      <c r="AX191">
        <v>2041751</v>
      </c>
    </row>
    <row r="192" spans="1:50" ht="14.5" x14ac:dyDescent="0.35">
      <c r="A192" s="72" t="s">
        <v>371</v>
      </c>
      <c r="B192" s="72" t="str">
        <f>VLOOKUP(Tabelle_Abfrage_von_MS_Access_Database3[[#This Row],[LAND]],Texte!$A$4:$C$261,Texte!$A$1+1,FALSE)</f>
        <v>Pakistan</v>
      </c>
      <c r="C192" s="72" t="s">
        <v>508</v>
      </c>
      <c r="D192" s="72" t="s">
        <v>557</v>
      </c>
      <c r="E192" s="73">
        <v>6158000</v>
      </c>
      <c r="F192" s="73">
        <v>6222000</v>
      </c>
      <c r="G192" s="73">
        <v>8628000</v>
      </c>
      <c r="H192" s="73">
        <v>8346000</v>
      </c>
      <c r="I192" s="73">
        <v>8138000</v>
      </c>
      <c r="J192" s="73">
        <v>10644000</v>
      </c>
      <c r="K192" s="73">
        <v>11092000</v>
      </c>
      <c r="L192" s="73">
        <v>10330000</v>
      </c>
      <c r="M192" s="73">
        <v>12223000</v>
      </c>
      <c r="N192" s="73">
        <v>19383000</v>
      </c>
      <c r="O192" s="73">
        <v>22856000</v>
      </c>
      <c r="P192" s="73">
        <v>21817000</v>
      </c>
      <c r="Q192" s="73">
        <v>33038000</v>
      </c>
      <c r="R192" s="73">
        <v>37956000</v>
      </c>
      <c r="S192" s="73">
        <v>36482000</v>
      </c>
      <c r="T192" s="73">
        <v>36483000</v>
      </c>
      <c r="U192" s="73">
        <v>45084000</v>
      </c>
      <c r="V192" s="73">
        <v>40096292</v>
      </c>
      <c r="W192" s="73">
        <v>38394300</v>
      </c>
      <c r="X192" s="73">
        <v>40281464</v>
      </c>
      <c r="Y192" s="73">
        <v>39958724</v>
      </c>
      <c r="Z192" s="73">
        <v>35437739</v>
      </c>
      <c r="AA192" s="73">
        <v>45931055</v>
      </c>
      <c r="AB192" s="73">
        <v>56060145</v>
      </c>
      <c r="AC192" s="73">
        <v>49784315</v>
      </c>
      <c r="AD192" s="73">
        <v>49442177</v>
      </c>
      <c r="AE192" s="73">
        <v>52534595</v>
      </c>
      <c r="AF192" s="73">
        <v>56319352</v>
      </c>
      <c r="AG192" s="73">
        <v>61889962</v>
      </c>
      <c r="AH192" s="73">
        <v>62881146</v>
      </c>
      <c r="AI192" s="73">
        <v>62219337</v>
      </c>
      <c r="AJ192" s="73">
        <v>60576368</v>
      </c>
      <c r="AK192" s="73">
        <v>66043895</v>
      </c>
      <c r="AL192" s="73">
        <v>84974581</v>
      </c>
      <c r="AM192" s="73">
        <v>78513701</v>
      </c>
      <c r="AN192" s="73">
        <v>79734003</v>
      </c>
      <c r="AO192" s="73">
        <v>131344231</v>
      </c>
      <c r="AP192" s="73">
        <v>124339118</v>
      </c>
      <c r="AQ192" s="73">
        <v>151131690</v>
      </c>
      <c r="AR192" s="73">
        <v>166562790</v>
      </c>
      <c r="AS192" s="73">
        <v>168907074</v>
      </c>
      <c r="AT192" s="73">
        <v>314425953</v>
      </c>
      <c r="AU192" s="73">
        <v>237888589</v>
      </c>
      <c r="AV192">
        <v>218354202</v>
      </c>
      <c r="AW192">
        <v>285406932</v>
      </c>
      <c r="AX192">
        <v>236175643</v>
      </c>
    </row>
    <row r="193" spans="1:50" ht="14.5" x14ac:dyDescent="0.35">
      <c r="A193" s="72" t="s">
        <v>373</v>
      </c>
      <c r="B193" s="72" t="str">
        <f>VLOOKUP(Tabelle_Abfrage_von_MS_Access_Database3[[#This Row],[LAND]],Texte!$A$4:$C$261,Texte!$A$1+1,FALSE)</f>
        <v>Indien</v>
      </c>
      <c r="C193" s="72" t="s">
        <v>508</v>
      </c>
      <c r="D193" s="72" t="s">
        <v>557</v>
      </c>
      <c r="E193" s="73">
        <v>17699000</v>
      </c>
      <c r="F193" s="73">
        <v>21483000</v>
      </c>
      <c r="G193" s="73">
        <v>28653000</v>
      </c>
      <c r="H193" s="73">
        <v>31563000</v>
      </c>
      <c r="I193" s="73">
        <v>42044000</v>
      </c>
      <c r="J193" s="73">
        <v>44692000</v>
      </c>
      <c r="K193" s="73">
        <v>54286000</v>
      </c>
      <c r="L193" s="73">
        <v>57943000</v>
      </c>
      <c r="M193" s="73">
        <v>53465000</v>
      </c>
      <c r="N193" s="73">
        <v>61978000</v>
      </c>
      <c r="O193" s="73">
        <v>66262000</v>
      </c>
      <c r="P193" s="73">
        <v>88994000</v>
      </c>
      <c r="Q193" s="73">
        <v>104278000</v>
      </c>
      <c r="R193" s="73">
        <v>103061000</v>
      </c>
      <c r="S193" s="73">
        <v>105551000</v>
      </c>
      <c r="T193" s="73">
        <v>123431000</v>
      </c>
      <c r="U193" s="73">
        <v>147611000</v>
      </c>
      <c r="V193" s="73">
        <v>125800889</v>
      </c>
      <c r="W193" s="73">
        <v>138782509</v>
      </c>
      <c r="X193" s="73">
        <v>145678079</v>
      </c>
      <c r="Y193" s="73">
        <v>140873881</v>
      </c>
      <c r="Z193" s="73">
        <v>140891692</v>
      </c>
      <c r="AA193" s="73">
        <v>159306262</v>
      </c>
      <c r="AB193" s="73">
        <v>201310700</v>
      </c>
      <c r="AC193" s="73">
        <v>180734542</v>
      </c>
      <c r="AD193" s="73">
        <v>182940184</v>
      </c>
      <c r="AE193" s="73">
        <v>243399023</v>
      </c>
      <c r="AF193" s="73">
        <v>275294206</v>
      </c>
      <c r="AG193" s="73">
        <v>310473076</v>
      </c>
      <c r="AH193" s="73">
        <v>338653935</v>
      </c>
      <c r="AI193" s="73">
        <v>415085102</v>
      </c>
      <c r="AJ193" s="73">
        <v>439429129</v>
      </c>
      <c r="AK193" s="73">
        <v>483459635</v>
      </c>
      <c r="AL193" s="73">
        <v>557987475</v>
      </c>
      <c r="AM193" s="73">
        <v>546795286</v>
      </c>
      <c r="AN193" s="73">
        <v>566895134</v>
      </c>
      <c r="AO193" s="73">
        <v>626072996</v>
      </c>
      <c r="AP193" s="73">
        <v>711054721</v>
      </c>
      <c r="AQ193" s="73">
        <v>774183629</v>
      </c>
      <c r="AR193" s="73">
        <v>825371700</v>
      </c>
      <c r="AS193" s="73">
        <v>946150063</v>
      </c>
      <c r="AT193" s="73">
        <v>1021254198</v>
      </c>
      <c r="AU193" s="73">
        <v>897911194</v>
      </c>
      <c r="AV193">
        <v>1120473428</v>
      </c>
      <c r="AW193">
        <v>1559506074</v>
      </c>
      <c r="AX193">
        <v>1390554053</v>
      </c>
    </row>
    <row r="194" spans="1:50" ht="14.5" x14ac:dyDescent="0.35">
      <c r="A194" s="72" t="s">
        <v>375</v>
      </c>
      <c r="B194" s="72" t="str">
        <f>VLOOKUP(Tabelle_Abfrage_von_MS_Access_Database3[[#This Row],[LAND]],Texte!$A$4:$C$261,Texte!$A$1+1,FALSE)</f>
        <v>Bangladesch</v>
      </c>
      <c r="C194" s="72" t="s">
        <v>508</v>
      </c>
      <c r="D194" s="72" t="s">
        <v>557</v>
      </c>
      <c r="E194" s="73">
        <v>411000</v>
      </c>
      <c r="F194" s="73">
        <v>225000</v>
      </c>
      <c r="G194" s="73">
        <v>309000</v>
      </c>
      <c r="H194" s="73">
        <v>309000</v>
      </c>
      <c r="I194" s="73">
        <v>482000</v>
      </c>
      <c r="J194" s="73">
        <v>408000</v>
      </c>
      <c r="K194" s="73">
        <v>567000</v>
      </c>
      <c r="L194" s="73">
        <v>822000</v>
      </c>
      <c r="M194" s="73">
        <v>762000</v>
      </c>
      <c r="N194" s="73">
        <v>1398000</v>
      </c>
      <c r="O194" s="73">
        <v>1816000</v>
      </c>
      <c r="P194" s="73">
        <v>2351000</v>
      </c>
      <c r="Q194" s="73">
        <v>3647000</v>
      </c>
      <c r="R194" s="73">
        <v>6850000</v>
      </c>
      <c r="S194" s="73">
        <v>7232000</v>
      </c>
      <c r="T194" s="73">
        <v>9506000</v>
      </c>
      <c r="U194" s="73">
        <v>11541000</v>
      </c>
      <c r="V194" s="73">
        <v>13344619</v>
      </c>
      <c r="W194" s="73">
        <v>17826794</v>
      </c>
      <c r="X194" s="73">
        <v>27465678</v>
      </c>
      <c r="Y194" s="73">
        <v>28760123</v>
      </c>
      <c r="Z194" s="73">
        <v>36809002</v>
      </c>
      <c r="AA194" s="73">
        <v>56405894</v>
      </c>
      <c r="AB194" s="73">
        <v>74368154</v>
      </c>
      <c r="AC194" s="73">
        <v>76563289</v>
      </c>
      <c r="AD194" s="73">
        <v>99122143</v>
      </c>
      <c r="AE194" s="73">
        <v>121048274</v>
      </c>
      <c r="AF194" s="73">
        <v>118022230</v>
      </c>
      <c r="AG194" s="73">
        <v>175457734</v>
      </c>
      <c r="AH194" s="73">
        <v>176567350</v>
      </c>
      <c r="AI194" s="73">
        <v>183737734</v>
      </c>
      <c r="AJ194" s="73">
        <v>170546877</v>
      </c>
      <c r="AK194" s="73">
        <v>191579446</v>
      </c>
      <c r="AL194" s="73">
        <v>258494447</v>
      </c>
      <c r="AM194" s="73">
        <v>282012598</v>
      </c>
      <c r="AN194" s="73">
        <v>343476645</v>
      </c>
      <c r="AO194" s="73">
        <v>390640908</v>
      </c>
      <c r="AP194" s="73">
        <v>477446311</v>
      </c>
      <c r="AQ194" s="73">
        <v>633183861</v>
      </c>
      <c r="AR194" s="73">
        <v>697338808</v>
      </c>
      <c r="AS194" s="73">
        <v>746037625</v>
      </c>
      <c r="AT194" s="73">
        <v>807304067</v>
      </c>
      <c r="AU194" s="73">
        <v>737424783</v>
      </c>
      <c r="AV194">
        <v>872561757</v>
      </c>
      <c r="AW194">
        <v>1170477074</v>
      </c>
      <c r="AX194">
        <v>969200078</v>
      </c>
    </row>
    <row r="195" spans="1:50" ht="14.5" x14ac:dyDescent="0.35">
      <c r="A195" s="72" t="s">
        <v>377</v>
      </c>
      <c r="B195" s="72" t="str">
        <f>VLOOKUP(Tabelle_Abfrage_von_MS_Access_Database3[[#This Row],[LAND]],Texte!$A$4:$C$261,Texte!$A$1+1,FALSE)</f>
        <v>Malediven</v>
      </c>
      <c r="C195" s="72" t="s">
        <v>508</v>
      </c>
      <c r="D195" s="72" t="s">
        <v>557</v>
      </c>
      <c r="E195" s="73">
        <v>16000</v>
      </c>
      <c r="F195" s="73">
        <v>1000</v>
      </c>
      <c r="G195" s="73">
        <v>6000</v>
      </c>
      <c r="H195" s="73">
        <v>0</v>
      </c>
      <c r="I195" s="73">
        <v>0</v>
      </c>
      <c r="J195" s="73">
        <v>0</v>
      </c>
      <c r="K195" s="73">
        <v>48000</v>
      </c>
      <c r="L195" s="73">
        <v>67000</v>
      </c>
      <c r="M195" s="73">
        <v>9000</v>
      </c>
      <c r="N195" s="73">
        <v>56000</v>
      </c>
      <c r="O195" s="73">
        <v>120000</v>
      </c>
      <c r="P195" s="73">
        <v>6000</v>
      </c>
      <c r="Q195" s="73">
        <v>27000</v>
      </c>
      <c r="R195" s="73">
        <v>10000</v>
      </c>
      <c r="S195" s="73">
        <v>13000</v>
      </c>
      <c r="T195" s="73">
        <v>38000</v>
      </c>
      <c r="U195" s="73">
        <v>98000</v>
      </c>
      <c r="V195" s="73">
        <v>110534</v>
      </c>
      <c r="W195" s="73">
        <v>222888</v>
      </c>
      <c r="X195" s="73">
        <v>89243</v>
      </c>
      <c r="Y195" s="73">
        <v>99927</v>
      </c>
      <c r="Z195" s="73">
        <v>99052</v>
      </c>
      <c r="AA195" s="73">
        <v>292218</v>
      </c>
      <c r="AB195" s="73">
        <v>393358</v>
      </c>
      <c r="AC195" s="73">
        <v>233382</v>
      </c>
      <c r="AD195" s="73">
        <v>270621</v>
      </c>
      <c r="AE195" s="73">
        <v>57791</v>
      </c>
      <c r="AF195" s="73">
        <v>26806</v>
      </c>
      <c r="AG195" s="73">
        <v>19928</v>
      </c>
      <c r="AH195" s="73">
        <v>217737</v>
      </c>
      <c r="AI195" s="73">
        <v>244849</v>
      </c>
      <c r="AJ195" s="73">
        <v>11614</v>
      </c>
      <c r="AK195" s="73">
        <v>14813</v>
      </c>
      <c r="AL195" s="73">
        <v>26155</v>
      </c>
      <c r="AM195" s="73">
        <v>73833</v>
      </c>
      <c r="AN195" s="73">
        <v>91424</v>
      </c>
      <c r="AO195" s="73">
        <v>166991</v>
      </c>
      <c r="AP195" s="73">
        <v>588709</v>
      </c>
      <c r="AQ195" s="73">
        <v>940918</v>
      </c>
      <c r="AR195" s="73">
        <v>1936713</v>
      </c>
      <c r="AS195" s="73">
        <v>1238217</v>
      </c>
      <c r="AT195" s="73">
        <v>976620</v>
      </c>
      <c r="AU195" s="73">
        <v>944823</v>
      </c>
      <c r="AV195">
        <v>1387052</v>
      </c>
      <c r="AW195">
        <v>2153115</v>
      </c>
      <c r="AX195">
        <v>2188485</v>
      </c>
    </row>
    <row r="196" spans="1:50" ht="14.5" x14ac:dyDescent="0.35">
      <c r="A196" s="72" t="s">
        <v>379</v>
      </c>
      <c r="B196" s="72" t="str">
        <f>VLOOKUP(Tabelle_Abfrage_von_MS_Access_Database3[[#This Row],[LAND]],Texte!$A$4:$C$261,Texte!$A$1+1,FALSE)</f>
        <v>Sri Lanka</v>
      </c>
      <c r="C196" s="72" t="s">
        <v>508</v>
      </c>
      <c r="D196" s="72" t="s">
        <v>557</v>
      </c>
      <c r="E196" s="73">
        <v>4227000</v>
      </c>
      <c r="F196" s="73">
        <v>4370000</v>
      </c>
      <c r="G196" s="73">
        <v>4462000</v>
      </c>
      <c r="H196" s="73">
        <v>4263000</v>
      </c>
      <c r="I196" s="73">
        <v>5322000</v>
      </c>
      <c r="J196" s="73">
        <v>5779000</v>
      </c>
      <c r="K196" s="73">
        <v>8054000</v>
      </c>
      <c r="L196" s="73">
        <v>9403000</v>
      </c>
      <c r="M196" s="73">
        <v>7270000</v>
      </c>
      <c r="N196" s="73">
        <v>5473000</v>
      </c>
      <c r="O196" s="73">
        <v>6611000</v>
      </c>
      <c r="P196" s="73">
        <v>6455000</v>
      </c>
      <c r="Q196" s="73">
        <v>8163000</v>
      </c>
      <c r="R196" s="73">
        <v>12902000</v>
      </c>
      <c r="S196" s="73">
        <v>15333000</v>
      </c>
      <c r="T196" s="73">
        <v>14713000</v>
      </c>
      <c r="U196" s="73">
        <v>18231000</v>
      </c>
      <c r="V196" s="73">
        <v>12990191</v>
      </c>
      <c r="W196" s="73">
        <v>13226747</v>
      </c>
      <c r="X196" s="73">
        <v>14015605</v>
      </c>
      <c r="Y196" s="73">
        <v>16673323</v>
      </c>
      <c r="Z196" s="73">
        <v>16812059</v>
      </c>
      <c r="AA196" s="73">
        <v>17926861</v>
      </c>
      <c r="AB196" s="73">
        <v>21265619</v>
      </c>
      <c r="AC196" s="73">
        <v>16987358</v>
      </c>
      <c r="AD196" s="73">
        <v>17456518</v>
      </c>
      <c r="AE196" s="73">
        <v>19719775</v>
      </c>
      <c r="AF196" s="73">
        <v>19221556</v>
      </c>
      <c r="AG196" s="73">
        <v>25859251</v>
      </c>
      <c r="AH196" s="73">
        <v>31850345</v>
      </c>
      <c r="AI196" s="73">
        <v>35964257</v>
      </c>
      <c r="AJ196" s="73">
        <v>32616572</v>
      </c>
      <c r="AK196" s="73">
        <v>38474899</v>
      </c>
      <c r="AL196" s="73">
        <v>43780685</v>
      </c>
      <c r="AM196" s="73">
        <v>53664116</v>
      </c>
      <c r="AN196" s="73">
        <v>52393251</v>
      </c>
      <c r="AO196" s="73">
        <v>58387021</v>
      </c>
      <c r="AP196" s="73">
        <v>70912982</v>
      </c>
      <c r="AQ196" s="73">
        <v>73911691</v>
      </c>
      <c r="AR196" s="73">
        <v>83289547</v>
      </c>
      <c r="AS196" s="73">
        <v>108161322</v>
      </c>
      <c r="AT196" s="73">
        <v>138260811</v>
      </c>
      <c r="AU196" s="73">
        <v>118731459</v>
      </c>
      <c r="AV196">
        <v>131314485</v>
      </c>
      <c r="AW196">
        <v>161064612</v>
      </c>
      <c r="AX196">
        <v>118717275</v>
      </c>
    </row>
    <row r="197" spans="1:50" ht="14.5" x14ac:dyDescent="0.35">
      <c r="A197" s="72" t="s">
        <v>381</v>
      </c>
      <c r="B197" s="72" t="str">
        <f>VLOOKUP(Tabelle_Abfrage_von_MS_Access_Database3[[#This Row],[LAND]],Texte!$A$4:$C$261,Texte!$A$1+1,FALSE)</f>
        <v>Nepal</v>
      </c>
      <c r="C197" s="72" t="s">
        <v>508</v>
      </c>
      <c r="D197" s="72" t="s">
        <v>557</v>
      </c>
      <c r="E197" s="73">
        <v>72000</v>
      </c>
      <c r="F197" s="73">
        <v>85000</v>
      </c>
      <c r="G197" s="73">
        <v>68000</v>
      </c>
      <c r="H197" s="73">
        <v>103000</v>
      </c>
      <c r="I197" s="73">
        <v>156000</v>
      </c>
      <c r="J197" s="73">
        <v>248000</v>
      </c>
      <c r="K197" s="73">
        <v>556000</v>
      </c>
      <c r="L197" s="73">
        <v>383000</v>
      </c>
      <c r="M197" s="73">
        <v>526000</v>
      </c>
      <c r="N197" s="73">
        <v>1013000</v>
      </c>
      <c r="O197" s="73">
        <v>2271000</v>
      </c>
      <c r="P197" s="73">
        <v>3586000</v>
      </c>
      <c r="Q197" s="73">
        <v>3412000</v>
      </c>
      <c r="R197" s="73">
        <v>4879000</v>
      </c>
      <c r="S197" s="73">
        <v>5349000</v>
      </c>
      <c r="T197" s="73">
        <v>6150000</v>
      </c>
      <c r="U197" s="73">
        <v>7016000</v>
      </c>
      <c r="V197" s="73">
        <v>3648181</v>
      </c>
      <c r="W197" s="73">
        <v>4381887</v>
      </c>
      <c r="X197" s="73">
        <v>4706006</v>
      </c>
      <c r="Y197" s="73">
        <v>3344332</v>
      </c>
      <c r="Z197" s="73">
        <v>4382391</v>
      </c>
      <c r="AA197" s="73">
        <v>4615821</v>
      </c>
      <c r="AB197" s="73">
        <v>2816191</v>
      </c>
      <c r="AC197" s="73">
        <v>1992053</v>
      </c>
      <c r="AD197" s="73">
        <v>1393627</v>
      </c>
      <c r="AE197" s="73">
        <v>1985266</v>
      </c>
      <c r="AF197" s="73">
        <v>1830452</v>
      </c>
      <c r="AG197" s="73">
        <v>1798372</v>
      </c>
      <c r="AH197" s="73">
        <v>1724152</v>
      </c>
      <c r="AI197" s="73">
        <v>2346846</v>
      </c>
      <c r="AJ197" s="73">
        <v>1567317</v>
      </c>
      <c r="AK197" s="73">
        <v>2789767</v>
      </c>
      <c r="AL197" s="73">
        <v>2876418</v>
      </c>
      <c r="AM197" s="73">
        <v>2671452</v>
      </c>
      <c r="AN197" s="73">
        <v>2698398</v>
      </c>
      <c r="AO197" s="73">
        <v>2385753</v>
      </c>
      <c r="AP197" s="73">
        <v>2247483</v>
      </c>
      <c r="AQ197" s="73">
        <v>3093884</v>
      </c>
      <c r="AR197" s="73">
        <v>2927943</v>
      </c>
      <c r="AS197" s="73">
        <v>2508550</v>
      </c>
      <c r="AT197" s="73">
        <v>2516881</v>
      </c>
      <c r="AU197" s="73">
        <v>2208645</v>
      </c>
      <c r="AV197">
        <v>2743543</v>
      </c>
      <c r="AW197">
        <v>3681511</v>
      </c>
      <c r="AX197">
        <v>4422040</v>
      </c>
    </row>
    <row r="198" spans="1:50" ht="14.5" x14ac:dyDescent="0.35">
      <c r="A198" s="72" t="s">
        <v>383</v>
      </c>
      <c r="B198" s="72" t="str">
        <f>VLOOKUP(Tabelle_Abfrage_von_MS_Access_Database3[[#This Row],[LAND]],Texte!$A$4:$C$261,Texte!$A$1+1,FALSE)</f>
        <v>Bhutan</v>
      </c>
      <c r="C198" s="72" t="s">
        <v>510</v>
      </c>
      <c r="D198" s="72" t="s">
        <v>557</v>
      </c>
      <c r="E198" s="73">
        <v>0</v>
      </c>
      <c r="F198" s="73">
        <v>0</v>
      </c>
      <c r="G198" s="73">
        <v>0</v>
      </c>
      <c r="H198" s="73">
        <v>0</v>
      </c>
      <c r="I198" s="73">
        <v>0</v>
      </c>
      <c r="J198" s="73">
        <v>0</v>
      </c>
      <c r="K198" s="73">
        <v>45000</v>
      </c>
      <c r="L198" s="73">
        <v>7000</v>
      </c>
      <c r="M198" s="73">
        <v>55000</v>
      </c>
      <c r="N198" s="73">
        <v>0</v>
      </c>
      <c r="O198" s="73">
        <v>64000</v>
      </c>
      <c r="P198" s="73">
        <v>24000</v>
      </c>
      <c r="Q198" s="73">
        <v>114000</v>
      </c>
      <c r="R198" s="73">
        <v>10000</v>
      </c>
      <c r="S198" s="73">
        <v>10000</v>
      </c>
      <c r="T198" s="73">
        <v>10000</v>
      </c>
      <c r="U198" s="73">
        <v>63000</v>
      </c>
      <c r="V198" s="73">
        <v>27906</v>
      </c>
      <c r="W198" s="73">
        <v>30959</v>
      </c>
      <c r="X198" s="73">
        <v>70492</v>
      </c>
      <c r="Y198" s="73">
        <v>121509</v>
      </c>
      <c r="Z198" s="73">
        <v>56029</v>
      </c>
      <c r="AA198" s="73">
        <v>29142</v>
      </c>
      <c r="AB198" s="73">
        <v>7069</v>
      </c>
      <c r="AC198" s="73">
        <v>31478</v>
      </c>
      <c r="AD198" s="73">
        <v>44408</v>
      </c>
      <c r="AE198" s="73">
        <v>310779</v>
      </c>
      <c r="AF198" s="73">
        <v>20945</v>
      </c>
      <c r="AG198" s="73">
        <v>7603</v>
      </c>
      <c r="AH198" s="73">
        <v>20281</v>
      </c>
      <c r="AI198" s="73">
        <v>120881</v>
      </c>
      <c r="AJ198" s="73">
        <v>7482</v>
      </c>
      <c r="AK198" s="73">
        <v>7777</v>
      </c>
      <c r="AL198" s="73">
        <v>4852</v>
      </c>
      <c r="AM198" s="73">
        <v>53608</v>
      </c>
      <c r="AN198" s="73">
        <v>5937</v>
      </c>
      <c r="AO198" s="73">
        <v>298695</v>
      </c>
      <c r="AP198" s="73">
        <v>47658</v>
      </c>
      <c r="AQ198" s="73">
        <v>30255</v>
      </c>
      <c r="AR198" s="73">
        <v>127457</v>
      </c>
      <c r="AS198" s="73">
        <v>45606</v>
      </c>
      <c r="AT198" s="73">
        <v>81757</v>
      </c>
      <c r="AU198" s="73">
        <v>21409</v>
      </c>
      <c r="AV198">
        <v>141678</v>
      </c>
      <c r="AW198">
        <v>42380</v>
      </c>
      <c r="AX198">
        <v>876265</v>
      </c>
    </row>
    <row r="199" spans="1:50" ht="14.5" x14ac:dyDescent="0.35">
      <c r="A199" s="72" t="s">
        <v>385</v>
      </c>
      <c r="B199" s="72" t="str">
        <f>VLOOKUP(Tabelle_Abfrage_von_MS_Access_Database3[[#This Row],[LAND]],Texte!$A$4:$C$261,Texte!$A$1+1,FALSE)</f>
        <v>Myanmar</v>
      </c>
      <c r="C199" s="72" t="s">
        <v>508</v>
      </c>
      <c r="D199" s="72" t="s">
        <v>557</v>
      </c>
      <c r="E199" s="73">
        <v>391000</v>
      </c>
      <c r="F199" s="73">
        <v>82000</v>
      </c>
      <c r="G199" s="73">
        <v>91000</v>
      </c>
      <c r="H199" s="73">
        <v>157000</v>
      </c>
      <c r="I199" s="73">
        <v>99000</v>
      </c>
      <c r="J199" s="73">
        <v>241000</v>
      </c>
      <c r="K199" s="73">
        <v>152000</v>
      </c>
      <c r="L199" s="73">
        <v>129000</v>
      </c>
      <c r="M199" s="73">
        <v>197000</v>
      </c>
      <c r="N199" s="73">
        <v>2304000</v>
      </c>
      <c r="O199" s="73">
        <v>284000</v>
      </c>
      <c r="P199" s="73">
        <v>361000</v>
      </c>
      <c r="Q199" s="73">
        <v>514000</v>
      </c>
      <c r="R199" s="73">
        <v>501000</v>
      </c>
      <c r="S199" s="73">
        <v>773000</v>
      </c>
      <c r="T199" s="73">
        <v>498000</v>
      </c>
      <c r="U199" s="73">
        <v>1194000</v>
      </c>
      <c r="V199" s="73">
        <v>373901</v>
      </c>
      <c r="W199" s="73">
        <v>1026938</v>
      </c>
      <c r="X199" s="73">
        <v>1445460</v>
      </c>
      <c r="Y199" s="73">
        <v>1557819</v>
      </c>
      <c r="Z199" s="73">
        <v>2435556</v>
      </c>
      <c r="AA199" s="73">
        <v>8134190</v>
      </c>
      <c r="AB199" s="73">
        <v>17731322</v>
      </c>
      <c r="AC199" s="73">
        <v>7376786</v>
      </c>
      <c r="AD199" s="73">
        <v>7370855</v>
      </c>
      <c r="AE199" s="73">
        <v>10700985</v>
      </c>
      <c r="AF199" s="73">
        <v>9771767</v>
      </c>
      <c r="AG199" s="73">
        <v>10428869</v>
      </c>
      <c r="AH199" s="73">
        <v>10343266</v>
      </c>
      <c r="AI199" s="73">
        <v>9723274</v>
      </c>
      <c r="AJ199" s="73">
        <v>6418407</v>
      </c>
      <c r="AK199" s="73">
        <v>8496851</v>
      </c>
      <c r="AL199" s="73">
        <v>11628758</v>
      </c>
      <c r="AM199" s="73">
        <v>8564880</v>
      </c>
      <c r="AN199" s="73">
        <v>9529207</v>
      </c>
      <c r="AO199" s="73">
        <v>14395482</v>
      </c>
      <c r="AP199" s="73">
        <v>28787463</v>
      </c>
      <c r="AQ199" s="73">
        <v>55916279</v>
      </c>
      <c r="AR199" s="73">
        <v>87413065</v>
      </c>
      <c r="AS199" s="73">
        <v>112069104</v>
      </c>
      <c r="AT199" s="73">
        <v>153530718</v>
      </c>
      <c r="AU199" s="73">
        <v>154329868</v>
      </c>
      <c r="AV199">
        <v>156871356</v>
      </c>
      <c r="AW199">
        <v>225344799</v>
      </c>
      <c r="AX199">
        <v>171400039</v>
      </c>
    </row>
    <row r="200" spans="1:50" ht="14.5" x14ac:dyDescent="0.35">
      <c r="A200" s="72" t="s">
        <v>387</v>
      </c>
      <c r="B200" s="72" t="str">
        <f>VLOOKUP(Tabelle_Abfrage_von_MS_Access_Database3[[#This Row],[LAND]],Texte!$A$4:$C$261,Texte!$A$1+1,FALSE)</f>
        <v>Thailand</v>
      </c>
      <c r="C200" s="72" t="s">
        <v>508</v>
      </c>
      <c r="D200" s="72" t="s">
        <v>557</v>
      </c>
      <c r="E200" s="73">
        <v>15820000</v>
      </c>
      <c r="F200" s="73">
        <v>20037000</v>
      </c>
      <c r="G200" s="73">
        <v>17501000</v>
      </c>
      <c r="H200" s="73">
        <v>14817000</v>
      </c>
      <c r="I200" s="73">
        <v>17596000</v>
      </c>
      <c r="J200" s="73">
        <v>17742000</v>
      </c>
      <c r="K200" s="73">
        <v>23122000</v>
      </c>
      <c r="L200" s="73">
        <v>32362000</v>
      </c>
      <c r="M200" s="73">
        <v>35122000</v>
      </c>
      <c r="N200" s="73">
        <v>40157000</v>
      </c>
      <c r="O200" s="73">
        <v>61569000</v>
      </c>
      <c r="P200" s="73">
        <v>83245000</v>
      </c>
      <c r="Q200" s="73">
        <v>87492000</v>
      </c>
      <c r="R200" s="73">
        <v>102608000</v>
      </c>
      <c r="S200" s="73">
        <v>107167000</v>
      </c>
      <c r="T200" s="73">
        <v>119952000</v>
      </c>
      <c r="U200" s="73">
        <v>136083000</v>
      </c>
      <c r="V200" s="73">
        <v>89902750</v>
      </c>
      <c r="W200" s="73">
        <v>101819945</v>
      </c>
      <c r="X200" s="73">
        <v>128533317</v>
      </c>
      <c r="Y200" s="73">
        <v>134788910</v>
      </c>
      <c r="Z200" s="73">
        <v>162626748</v>
      </c>
      <c r="AA200" s="73">
        <v>199693606</v>
      </c>
      <c r="AB200" s="73">
        <v>212509938</v>
      </c>
      <c r="AC200" s="73">
        <v>199998250</v>
      </c>
      <c r="AD200" s="73">
        <v>206022145</v>
      </c>
      <c r="AE200" s="73">
        <v>292549744</v>
      </c>
      <c r="AF200" s="73">
        <v>285733754</v>
      </c>
      <c r="AG200" s="73">
        <v>328863707</v>
      </c>
      <c r="AH200" s="73">
        <v>377646920</v>
      </c>
      <c r="AI200" s="73">
        <v>394477455</v>
      </c>
      <c r="AJ200" s="73">
        <v>370664536</v>
      </c>
      <c r="AK200" s="73">
        <v>377790192</v>
      </c>
      <c r="AL200" s="73">
        <v>425040701</v>
      </c>
      <c r="AM200" s="73">
        <v>413357870</v>
      </c>
      <c r="AN200" s="73">
        <v>493286306</v>
      </c>
      <c r="AO200" s="73">
        <v>500050219</v>
      </c>
      <c r="AP200" s="73">
        <v>562328628</v>
      </c>
      <c r="AQ200" s="73">
        <v>613682421</v>
      </c>
      <c r="AR200" s="73">
        <v>610649893</v>
      </c>
      <c r="AS200" s="73">
        <v>639773359</v>
      </c>
      <c r="AT200" s="73">
        <v>718336195</v>
      </c>
      <c r="AU200" s="73">
        <v>591408890</v>
      </c>
      <c r="AV200">
        <v>741843707</v>
      </c>
      <c r="AW200">
        <v>881830495</v>
      </c>
      <c r="AX200">
        <v>824943805</v>
      </c>
    </row>
    <row r="201" spans="1:50" ht="14.5" x14ac:dyDescent="0.35">
      <c r="A201" s="72" t="s">
        <v>389</v>
      </c>
      <c r="B201" s="72" t="str">
        <f>VLOOKUP(Tabelle_Abfrage_von_MS_Access_Database3[[#This Row],[LAND]],Texte!$A$4:$C$261,Texte!$A$1+1,FALSE)</f>
        <v>Laos</v>
      </c>
      <c r="C201" s="72" t="s">
        <v>508</v>
      </c>
      <c r="D201" s="72" t="s">
        <v>557</v>
      </c>
      <c r="E201" s="73">
        <v>0</v>
      </c>
      <c r="F201" s="73">
        <v>0</v>
      </c>
      <c r="G201" s="73">
        <v>0</v>
      </c>
      <c r="H201" s="73">
        <v>1000</v>
      </c>
      <c r="I201" s="73">
        <v>4000</v>
      </c>
      <c r="J201" s="73">
        <v>7000</v>
      </c>
      <c r="K201" s="73">
        <v>0</v>
      </c>
      <c r="L201" s="73">
        <v>140000</v>
      </c>
      <c r="M201" s="73">
        <v>813000</v>
      </c>
      <c r="N201" s="73">
        <v>371000</v>
      </c>
      <c r="O201" s="73">
        <v>101000</v>
      </c>
      <c r="P201" s="73">
        <v>65000</v>
      </c>
      <c r="Q201" s="73">
        <v>356000</v>
      </c>
      <c r="R201" s="73">
        <v>598000</v>
      </c>
      <c r="S201" s="73">
        <v>160000</v>
      </c>
      <c r="T201" s="73">
        <v>305000</v>
      </c>
      <c r="U201" s="73">
        <v>418000</v>
      </c>
      <c r="V201" s="73">
        <v>693732</v>
      </c>
      <c r="W201" s="73">
        <v>2171534</v>
      </c>
      <c r="X201" s="73">
        <v>2373931</v>
      </c>
      <c r="Y201" s="73">
        <v>1138999</v>
      </c>
      <c r="Z201" s="73">
        <v>1003686</v>
      </c>
      <c r="AA201" s="73">
        <v>1199540</v>
      </c>
      <c r="AB201" s="73">
        <v>1781447</v>
      </c>
      <c r="AC201" s="73">
        <v>1622158</v>
      </c>
      <c r="AD201" s="73">
        <v>2958566</v>
      </c>
      <c r="AE201" s="73">
        <v>2613654</v>
      </c>
      <c r="AF201" s="73">
        <v>3483700</v>
      </c>
      <c r="AG201" s="73">
        <v>3757038</v>
      </c>
      <c r="AH201" s="73">
        <v>3909575</v>
      </c>
      <c r="AI201" s="73">
        <v>2874026</v>
      </c>
      <c r="AJ201" s="73">
        <v>2597161</v>
      </c>
      <c r="AK201" s="73">
        <v>3698731</v>
      </c>
      <c r="AL201" s="73">
        <v>3092913</v>
      </c>
      <c r="AM201" s="73">
        <v>3319336</v>
      </c>
      <c r="AN201" s="73">
        <v>3496457</v>
      </c>
      <c r="AO201" s="73">
        <v>4504930</v>
      </c>
      <c r="AP201" s="73">
        <v>5157016</v>
      </c>
      <c r="AQ201" s="73">
        <v>5589266</v>
      </c>
      <c r="AR201" s="73">
        <v>4593767</v>
      </c>
      <c r="AS201" s="73">
        <v>2936172</v>
      </c>
      <c r="AT201" s="73">
        <v>5696980</v>
      </c>
      <c r="AU201" s="73">
        <v>5717078</v>
      </c>
      <c r="AV201">
        <v>7798532</v>
      </c>
      <c r="AW201">
        <v>16218480</v>
      </c>
      <c r="AX201">
        <v>19637867</v>
      </c>
    </row>
    <row r="202" spans="1:50" ht="14.5" x14ac:dyDescent="0.35">
      <c r="A202" s="72" t="s">
        <v>391</v>
      </c>
      <c r="B202" s="72" t="str">
        <f>VLOOKUP(Tabelle_Abfrage_von_MS_Access_Database3[[#This Row],[LAND]],Texte!$A$4:$C$261,Texte!$A$1+1,FALSE)</f>
        <v>Vietnam</v>
      </c>
      <c r="C202" s="72" t="s">
        <v>508</v>
      </c>
      <c r="D202" s="72" t="s">
        <v>557</v>
      </c>
      <c r="E202" s="73">
        <v>557000</v>
      </c>
      <c r="F202" s="73">
        <v>367000</v>
      </c>
      <c r="G202" s="73">
        <v>219000</v>
      </c>
      <c r="H202" s="73">
        <v>585000</v>
      </c>
      <c r="I202" s="73">
        <v>833000</v>
      </c>
      <c r="J202" s="73">
        <v>823000</v>
      </c>
      <c r="K202" s="73">
        <v>663000</v>
      </c>
      <c r="L202" s="73">
        <v>439000</v>
      </c>
      <c r="M202" s="73">
        <v>2127000</v>
      </c>
      <c r="N202" s="73">
        <v>2804000</v>
      </c>
      <c r="O202" s="73">
        <v>1796000</v>
      </c>
      <c r="P202" s="73">
        <v>3547000</v>
      </c>
      <c r="Q202" s="73">
        <v>11556000</v>
      </c>
      <c r="R202" s="73">
        <v>10402000</v>
      </c>
      <c r="S202" s="73">
        <v>26085000</v>
      </c>
      <c r="T202" s="73">
        <v>29644000</v>
      </c>
      <c r="U202" s="73">
        <v>20760000</v>
      </c>
      <c r="V202" s="73">
        <v>22542462</v>
      </c>
      <c r="W202" s="73">
        <v>29071390</v>
      </c>
      <c r="X202" s="73">
        <v>42248502</v>
      </c>
      <c r="Y202" s="73">
        <v>41968990</v>
      </c>
      <c r="Z202" s="73">
        <v>56590470</v>
      </c>
      <c r="AA202" s="73">
        <v>78779392</v>
      </c>
      <c r="AB202" s="73">
        <v>94580748</v>
      </c>
      <c r="AC202" s="73">
        <v>88941994</v>
      </c>
      <c r="AD202" s="73">
        <v>93050199</v>
      </c>
      <c r="AE202" s="73">
        <v>120175904</v>
      </c>
      <c r="AF202" s="73">
        <v>149145624</v>
      </c>
      <c r="AG202" s="73">
        <v>190005171</v>
      </c>
      <c r="AH202" s="73">
        <v>224178632</v>
      </c>
      <c r="AI202" s="73">
        <v>260799715</v>
      </c>
      <c r="AJ202" s="73">
        <v>210377947</v>
      </c>
      <c r="AK202" s="73">
        <v>255034564</v>
      </c>
      <c r="AL202" s="73">
        <v>340841720</v>
      </c>
      <c r="AM202" s="73">
        <v>416687762</v>
      </c>
      <c r="AN202" s="73">
        <v>472443848</v>
      </c>
      <c r="AO202" s="73">
        <v>591387860</v>
      </c>
      <c r="AP202" s="73">
        <v>699467784</v>
      </c>
      <c r="AQ202" s="73">
        <v>763781480</v>
      </c>
      <c r="AR202" s="73">
        <v>858462237</v>
      </c>
      <c r="AS202" s="73">
        <v>820479382</v>
      </c>
      <c r="AT202" s="73">
        <v>997182754</v>
      </c>
      <c r="AU202" s="73">
        <v>965433319</v>
      </c>
      <c r="AV202">
        <v>1205856245</v>
      </c>
      <c r="AW202">
        <v>1367239249</v>
      </c>
      <c r="AX202">
        <v>1401761299</v>
      </c>
    </row>
    <row r="203" spans="1:50" ht="14.5" x14ac:dyDescent="0.35">
      <c r="A203" s="72" t="s">
        <v>393</v>
      </c>
      <c r="B203" s="72" t="str">
        <f>VLOOKUP(Tabelle_Abfrage_von_MS_Access_Database3[[#This Row],[LAND]],Texte!$A$4:$C$261,Texte!$A$1+1,FALSE)</f>
        <v>Kambodscha</v>
      </c>
      <c r="C203" s="72" t="s">
        <v>509</v>
      </c>
      <c r="D203" s="72" t="s">
        <v>557</v>
      </c>
      <c r="E203" s="73">
        <v>0</v>
      </c>
      <c r="F203" s="73">
        <v>9000</v>
      </c>
      <c r="G203" s="73">
        <v>0</v>
      </c>
      <c r="H203" s="73">
        <v>52000</v>
      </c>
      <c r="I203" s="73">
        <v>0</v>
      </c>
      <c r="J203" s="73">
        <v>0</v>
      </c>
      <c r="K203" s="73">
        <v>0</v>
      </c>
      <c r="L203" s="73">
        <v>6000</v>
      </c>
      <c r="M203" s="73">
        <v>104000</v>
      </c>
      <c r="N203" s="73">
        <v>2000</v>
      </c>
      <c r="O203" s="73">
        <v>57000</v>
      </c>
      <c r="P203" s="73">
        <v>19000</v>
      </c>
      <c r="Q203" s="73">
        <v>22000</v>
      </c>
      <c r="R203" s="73">
        <v>330000</v>
      </c>
      <c r="S203" s="73">
        <v>744000</v>
      </c>
      <c r="T203" s="73">
        <v>743000</v>
      </c>
      <c r="U203" s="73">
        <v>1119000</v>
      </c>
      <c r="V203" s="73">
        <v>1928954</v>
      </c>
      <c r="W203" s="73">
        <v>2976900</v>
      </c>
      <c r="X203" s="73">
        <v>3142373</v>
      </c>
      <c r="Y203" s="73">
        <v>2973043</v>
      </c>
      <c r="Z203" s="73">
        <v>6047538</v>
      </c>
      <c r="AA203" s="73">
        <v>8673499</v>
      </c>
      <c r="AB203" s="73">
        <v>12850596</v>
      </c>
      <c r="AC203" s="73">
        <v>15008828</v>
      </c>
      <c r="AD203" s="73">
        <v>16587961</v>
      </c>
      <c r="AE203" s="73">
        <v>22393657</v>
      </c>
      <c r="AF203" s="73">
        <v>21471315</v>
      </c>
      <c r="AG203" s="73">
        <v>28513650</v>
      </c>
      <c r="AH203" s="73">
        <v>31042548</v>
      </c>
      <c r="AI203" s="73">
        <v>31520975</v>
      </c>
      <c r="AJ203" s="73">
        <v>29604536</v>
      </c>
      <c r="AK203" s="73">
        <v>32505498</v>
      </c>
      <c r="AL203" s="73">
        <v>35772610</v>
      </c>
      <c r="AM203" s="73">
        <v>56106812</v>
      </c>
      <c r="AN203" s="73">
        <v>84602133</v>
      </c>
      <c r="AO203" s="73">
        <v>107624896</v>
      </c>
      <c r="AP203" s="73">
        <v>141268618</v>
      </c>
      <c r="AQ203" s="73">
        <v>186620256</v>
      </c>
      <c r="AR203" s="73">
        <v>223705416</v>
      </c>
      <c r="AS203" s="73">
        <v>238979015</v>
      </c>
      <c r="AT203" s="73">
        <v>274311515</v>
      </c>
      <c r="AU203" s="73">
        <v>212990614</v>
      </c>
      <c r="AV203">
        <v>231346463</v>
      </c>
      <c r="AW203">
        <v>335051142</v>
      </c>
      <c r="AX203">
        <v>279128446</v>
      </c>
    </row>
    <row r="204" spans="1:50" ht="14.5" x14ac:dyDescent="0.35">
      <c r="A204" s="72" t="s">
        <v>395</v>
      </c>
      <c r="B204" s="72" t="str">
        <f>VLOOKUP(Tabelle_Abfrage_von_MS_Access_Database3[[#This Row],[LAND]],Texte!$A$4:$C$261,Texte!$A$1+1,FALSE)</f>
        <v>Indonesien</v>
      </c>
      <c r="C204" s="72" t="s">
        <v>508</v>
      </c>
      <c r="D204" s="72" t="s">
        <v>557</v>
      </c>
      <c r="E204" s="73">
        <v>12312000</v>
      </c>
      <c r="F204" s="73">
        <v>12783000</v>
      </c>
      <c r="G204" s="73">
        <v>16563000</v>
      </c>
      <c r="H204" s="73">
        <v>14878000</v>
      </c>
      <c r="I204" s="73">
        <v>18803000</v>
      </c>
      <c r="J204" s="73">
        <v>22870000</v>
      </c>
      <c r="K204" s="73">
        <v>34121000</v>
      </c>
      <c r="L204" s="73">
        <v>23465000</v>
      </c>
      <c r="M204" s="73">
        <v>28192000</v>
      </c>
      <c r="N204" s="73">
        <v>28873000</v>
      </c>
      <c r="O204" s="73">
        <v>23395000</v>
      </c>
      <c r="P204" s="73">
        <v>27722000</v>
      </c>
      <c r="Q204" s="73">
        <v>38442000</v>
      </c>
      <c r="R204" s="73">
        <v>51927000</v>
      </c>
      <c r="S204" s="73">
        <v>47137000</v>
      </c>
      <c r="T204" s="73">
        <v>58195000</v>
      </c>
      <c r="U204" s="73">
        <v>70678000</v>
      </c>
      <c r="V204" s="73">
        <v>67097660</v>
      </c>
      <c r="W204" s="73">
        <v>107807073</v>
      </c>
      <c r="X204" s="73">
        <v>120305153</v>
      </c>
      <c r="Y204" s="73">
        <v>128135949</v>
      </c>
      <c r="Z204" s="73">
        <v>112062238</v>
      </c>
      <c r="AA204" s="73">
        <v>146574717</v>
      </c>
      <c r="AB204" s="73">
        <v>171484824</v>
      </c>
      <c r="AC204" s="73">
        <v>151178587</v>
      </c>
      <c r="AD204" s="73">
        <v>156984897</v>
      </c>
      <c r="AE204" s="73">
        <v>151574542</v>
      </c>
      <c r="AF204" s="73">
        <v>158146483</v>
      </c>
      <c r="AG204" s="73">
        <v>167189620</v>
      </c>
      <c r="AH204" s="73">
        <v>162570412</v>
      </c>
      <c r="AI204" s="73">
        <v>185406450</v>
      </c>
      <c r="AJ204" s="73">
        <v>164543573</v>
      </c>
      <c r="AK204" s="73">
        <v>178975576</v>
      </c>
      <c r="AL204" s="73">
        <v>216808059</v>
      </c>
      <c r="AM204" s="73">
        <v>200937687</v>
      </c>
      <c r="AN204" s="73">
        <v>194771876</v>
      </c>
      <c r="AO204" s="73">
        <v>218561235</v>
      </c>
      <c r="AP204" s="73">
        <v>230871277</v>
      </c>
      <c r="AQ204" s="73">
        <v>251557881</v>
      </c>
      <c r="AR204" s="73">
        <v>279668864</v>
      </c>
      <c r="AS204" s="73">
        <v>290819042</v>
      </c>
      <c r="AT204" s="73">
        <v>292837650</v>
      </c>
      <c r="AU204" s="73">
        <v>294209258</v>
      </c>
      <c r="AV204">
        <v>354823776</v>
      </c>
      <c r="AW204">
        <v>448515079</v>
      </c>
      <c r="AX204">
        <v>388969632</v>
      </c>
    </row>
    <row r="205" spans="1:50" ht="14.5" x14ac:dyDescent="0.35">
      <c r="A205" s="72" t="s">
        <v>397</v>
      </c>
      <c r="B205" s="72" t="str">
        <f>VLOOKUP(Tabelle_Abfrage_von_MS_Access_Database3[[#This Row],[LAND]],Texte!$A$4:$C$261,Texte!$A$1+1,FALSE)</f>
        <v>Malaysia</v>
      </c>
      <c r="C205" s="72" t="s">
        <v>508</v>
      </c>
      <c r="D205" s="72" t="s">
        <v>557</v>
      </c>
      <c r="E205" s="73">
        <v>37044000</v>
      </c>
      <c r="F205" s="73">
        <v>51336000</v>
      </c>
      <c r="G205" s="73">
        <v>60999000</v>
      </c>
      <c r="H205" s="73">
        <v>53783000</v>
      </c>
      <c r="I205" s="73">
        <v>53243000</v>
      </c>
      <c r="J205" s="73">
        <v>56366000</v>
      </c>
      <c r="K205" s="73">
        <v>72776000</v>
      </c>
      <c r="L205" s="73">
        <v>64736000</v>
      </c>
      <c r="M205" s="73">
        <v>49904000</v>
      </c>
      <c r="N205" s="73">
        <v>55225000</v>
      </c>
      <c r="O205" s="73">
        <v>65872000</v>
      </c>
      <c r="P205" s="73">
        <v>72718000</v>
      </c>
      <c r="Q205" s="73">
        <v>83327000</v>
      </c>
      <c r="R205" s="73">
        <v>74357000</v>
      </c>
      <c r="S205" s="73">
        <v>87759000</v>
      </c>
      <c r="T205" s="73">
        <v>107580000</v>
      </c>
      <c r="U205" s="73">
        <v>129624000</v>
      </c>
      <c r="V205" s="73">
        <v>135770374</v>
      </c>
      <c r="W205" s="73">
        <v>142444710</v>
      </c>
      <c r="X205" s="73">
        <v>158903018</v>
      </c>
      <c r="Y205" s="73">
        <v>185371897</v>
      </c>
      <c r="Z205" s="73">
        <v>148268407</v>
      </c>
      <c r="AA205" s="73">
        <v>244801201</v>
      </c>
      <c r="AB205" s="73">
        <v>579444822</v>
      </c>
      <c r="AC205" s="73">
        <v>474543802</v>
      </c>
      <c r="AD205" s="73">
        <v>234793309</v>
      </c>
      <c r="AE205" s="73">
        <v>217208160</v>
      </c>
      <c r="AF205" s="73">
        <v>256092587</v>
      </c>
      <c r="AG205" s="73">
        <v>377139767</v>
      </c>
      <c r="AH205" s="73">
        <v>335903163</v>
      </c>
      <c r="AI205" s="73">
        <v>317740721</v>
      </c>
      <c r="AJ205" s="73">
        <v>212321283</v>
      </c>
      <c r="AK205" s="73">
        <v>277394888</v>
      </c>
      <c r="AL205" s="73">
        <v>323184376</v>
      </c>
      <c r="AM205" s="73">
        <v>280534095</v>
      </c>
      <c r="AN205" s="73">
        <v>305468007</v>
      </c>
      <c r="AO205" s="73">
        <v>315455587</v>
      </c>
      <c r="AP205" s="73">
        <v>327197614</v>
      </c>
      <c r="AQ205" s="73">
        <v>358689747</v>
      </c>
      <c r="AR205" s="73">
        <v>357914226</v>
      </c>
      <c r="AS205" s="73">
        <v>376104229</v>
      </c>
      <c r="AT205" s="73">
        <v>404146939</v>
      </c>
      <c r="AU205" s="73">
        <v>396616373</v>
      </c>
      <c r="AV205">
        <v>546938195</v>
      </c>
      <c r="AW205">
        <v>640086089</v>
      </c>
      <c r="AX205">
        <v>583171136</v>
      </c>
    </row>
    <row r="206" spans="1:50" ht="14.5" x14ac:dyDescent="0.35">
      <c r="A206" s="72" t="s">
        <v>399</v>
      </c>
      <c r="B206" s="72" t="str">
        <f>VLOOKUP(Tabelle_Abfrage_von_MS_Access_Database3[[#This Row],[LAND]],Texte!$A$4:$C$261,Texte!$A$1+1,FALSE)</f>
        <v>Brunei</v>
      </c>
      <c r="C206" s="72" t="s">
        <v>508</v>
      </c>
      <c r="D206" s="72" t="s">
        <v>557</v>
      </c>
      <c r="E206" s="73">
        <v>0</v>
      </c>
      <c r="F206" s="73">
        <v>0</v>
      </c>
      <c r="G206" s="73">
        <v>0</v>
      </c>
      <c r="H206" s="73">
        <v>0</v>
      </c>
      <c r="I206" s="73">
        <v>0</v>
      </c>
      <c r="J206" s="73">
        <v>0</v>
      </c>
      <c r="K206" s="73">
        <v>0</v>
      </c>
      <c r="L206" s="73">
        <v>0</v>
      </c>
      <c r="M206" s="73">
        <v>0</v>
      </c>
      <c r="N206" s="73">
        <v>0</v>
      </c>
      <c r="O206" s="73">
        <v>2000</v>
      </c>
      <c r="P206" s="73">
        <v>15000</v>
      </c>
      <c r="Q206" s="73">
        <v>13000</v>
      </c>
      <c r="R206" s="73">
        <v>71000</v>
      </c>
      <c r="S206" s="73">
        <v>1000</v>
      </c>
      <c r="T206" s="73">
        <v>131000</v>
      </c>
      <c r="U206" s="73">
        <v>422000</v>
      </c>
      <c r="V206" s="73">
        <v>84227</v>
      </c>
      <c r="W206" s="73">
        <v>71364</v>
      </c>
      <c r="X206" s="73">
        <v>47310</v>
      </c>
      <c r="Y206" s="73">
        <v>107193</v>
      </c>
      <c r="Z206" s="73">
        <v>2680029</v>
      </c>
      <c r="AA206" s="73">
        <v>29506</v>
      </c>
      <c r="AB206" s="73">
        <v>49768</v>
      </c>
      <c r="AC206" s="73">
        <v>31695</v>
      </c>
      <c r="AD206" s="73">
        <v>126937</v>
      </c>
      <c r="AE206" s="73">
        <v>47609</v>
      </c>
      <c r="AF206" s="73">
        <v>19813</v>
      </c>
      <c r="AG206" s="73">
        <v>139010</v>
      </c>
      <c r="AH206" s="73">
        <v>43543</v>
      </c>
      <c r="AI206" s="73">
        <v>44986</v>
      </c>
      <c r="AJ206" s="73">
        <v>18824</v>
      </c>
      <c r="AK206" s="73">
        <v>12609</v>
      </c>
      <c r="AL206" s="73">
        <v>210441</v>
      </c>
      <c r="AM206" s="73">
        <v>97410</v>
      </c>
      <c r="AN206" s="73">
        <v>150272</v>
      </c>
      <c r="AO206" s="73">
        <v>58921</v>
      </c>
      <c r="AP206" s="73">
        <v>109987</v>
      </c>
      <c r="AQ206" s="73">
        <v>49856</v>
      </c>
      <c r="AR206" s="73">
        <v>123257</v>
      </c>
      <c r="AS206" s="73">
        <v>204500</v>
      </c>
      <c r="AT206" s="73">
        <v>116783</v>
      </c>
      <c r="AU206" s="73">
        <v>50072</v>
      </c>
      <c r="AV206">
        <v>39550</v>
      </c>
      <c r="AW206">
        <v>104798</v>
      </c>
      <c r="AX206">
        <v>175953</v>
      </c>
    </row>
    <row r="207" spans="1:50" ht="14.5" x14ac:dyDescent="0.35">
      <c r="A207" s="72" t="s">
        <v>401</v>
      </c>
      <c r="B207" s="72" t="str">
        <f>VLOOKUP(Tabelle_Abfrage_von_MS_Access_Database3[[#This Row],[LAND]],Texte!$A$4:$C$261,Texte!$A$1+1,FALSE)</f>
        <v>Singapur</v>
      </c>
      <c r="C207" s="72" t="s">
        <v>508</v>
      </c>
      <c r="D207" s="72" t="s">
        <v>557</v>
      </c>
      <c r="E207" s="73">
        <v>11605000</v>
      </c>
      <c r="F207" s="73">
        <v>15306000</v>
      </c>
      <c r="G207" s="73">
        <v>23623000</v>
      </c>
      <c r="H207" s="73">
        <v>23643000</v>
      </c>
      <c r="I207" s="73">
        <v>27909000</v>
      </c>
      <c r="J207" s="73">
        <v>27335000</v>
      </c>
      <c r="K207" s="73">
        <v>32976000</v>
      </c>
      <c r="L207" s="73">
        <v>38261000</v>
      </c>
      <c r="M207" s="73">
        <v>37046000</v>
      </c>
      <c r="N207" s="73">
        <v>44944000</v>
      </c>
      <c r="O207" s="73">
        <v>86035000</v>
      </c>
      <c r="P207" s="73">
        <v>121852000</v>
      </c>
      <c r="Q207" s="73">
        <v>130170000</v>
      </c>
      <c r="R207" s="73">
        <v>144572000</v>
      </c>
      <c r="S207" s="73">
        <v>146153000</v>
      </c>
      <c r="T207" s="73">
        <v>134317000</v>
      </c>
      <c r="U207" s="73">
        <v>167590000</v>
      </c>
      <c r="V207" s="73">
        <v>106569050</v>
      </c>
      <c r="W207" s="73">
        <v>118148510</v>
      </c>
      <c r="X207" s="73">
        <v>115122326</v>
      </c>
      <c r="Y207" s="73">
        <v>108585182</v>
      </c>
      <c r="Z207" s="73">
        <v>122374793</v>
      </c>
      <c r="AA207" s="73">
        <v>120472080</v>
      </c>
      <c r="AB207" s="73">
        <v>143095880</v>
      </c>
      <c r="AC207" s="73">
        <v>194712511</v>
      </c>
      <c r="AD207" s="73">
        <v>186609319</v>
      </c>
      <c r="AE207" s="73">
        <v>143518016</v>
      </c>
      <c r="AF207" s="73">
        <v>124855618</v>
      </c>
      <c r="AG207" s="73">
        <v>128529741</v>
      </c>
      <c r="AH207" s="73">
        <v>153615531</v>
      </c>
      <c r="AI207" s="73">
        <v>98911392</v>
      </c>
      <c r="AJ207" s="73">
        <v>98158095</v>
      </c>
      <c r="AK207" s="73">
        <v>136443546</v>
      </c>
      <c r="AL207" s="73">
        <v>141861405</v>
      </c>
      <c r="AM207" s="73">
        <v>125466977</v>
      </c>
      <c r="AN207" s="73">
        <v>113015298</v>
      </c>
      <c r="AO207" s="73">
        <v>103430965</v>
      </c>
      <c r="AP207" s="73">
        <v>107898594</v>
      </c>
      <c r="AQ207" s="73">
        <v>153269804</v>
      </c>
      <c r="AR207" s="73">
        <v>141090134</v>
      </c>
      <c r="AS207" s="73">
        <v>181379756</v>
      </c>
      <c r="AT207" s="73">
        <v>213175401</v>
      </c>
      <c r="AU207" s="73">
        <v>207157933</v>
      </c>
      <c r="AV207">
        <v>422000896</v>
      </c>
      <c r="AW207">
        <v>480416456</v>
      </c>
      <c r="AX207">
        <v>418704537</v>
      </c>
    </row>
    <row r="208" spans="1:50" ht="14.5" x14ac:dyDescent="0.35">
      <c r="A208" s="72" t="s">
        <v>403</v>
      </c>
      <c r="B208" s="72" t="str">
        <f>VLOOKUP(Tabelle_Abfrage_von_MS_Access_Database3[[#This Row],[LAND]],Texte!$A$4:$C$261,Texte!$A$1+1,FALSE)</f>
        <v>Philippinen</v>
      </c>
      <c r="C208" s="72" t="s">
        <v>508</v>
      </c>
      <c r="D208" s="72" t="s">
        <v>557</v>
      </c>
      <c r="E208" s="73">
        <v>15835000</v>
      </c>
      <c r="F208" s="73">
        <v>19343000</v>
      </c>
      <c r="G208" s="73">
        <v>26437000</v>
      </c>
      <c r="H208" s="73">
        <v>29488000</v>
      </c>
      <c r="I208" s="73">
        <v>24205000</v>
      </c>
      <c r="J208" s="73">
        <v>28200000</v>
      </c>
      <c r="K208" s="73">
        <v>28121000</v>
      </c>
      <c r="L208" s="73">
        <v>22257000</v>
      </c>
      <c r="M208" s="73">
        <v>19572000</v>
      </c>
      <c r="N208" s="73">
        <v>19042000</v>
      </c>
      <c r="O208" s="73">
        <v>20526000</v>
      </c>
      <c r="P208" s="73">
        <v>24190000</v>
      </c>
      <c r="Q208" s="73">
        <v>33604000</v>
      </c>
      <c r="R208" s="73">
        <v>30082000</v>
      </c>
      <c r="S208" s="73">
        <v>27471000</v>
      </c>
      <c r="T208" s="73">
        <v>33688000</v>
      </c>
      <c r="U208" s="73">
        <v>44421000</v>
      </c>
      <c r="V208" s="73">
        <v>31416175</v>
      </c>
      <c r="W208" s="73">
        <v>37013806</v>
      </c>
      <c r="X208" s="73">
        <v>41574025</v>
      </c>
      <c r="Y208" s="73">
        <v>60222388</v>
      </c>
      <c r="Z208" s="73">
        <v>42191817</v>
      </c>
      <c r="AA208" s="73">
        <v>58757796</v>
      </c>
      <c r="AB208" s="73">
        <v>71973258</v>
      </c>
      <c r="AC208" s="73">
        <v>65962900</v>
      </c>
      <c r="AD208" s="73">
        <v>154950829</v>
      </c>
      <c r="AE208" s="73">
        <v>151587201</v>
      </c>
      <c r="AF208" s="73">
        <v>71821540</v>
      </c>
      <c r="AG208" s="73">
        <v>112317764</v>
      </c>
      <c r="AH208" s="73">
        <v>132378516</v>
      </c>
      <c r="AI208" s="73">
        <v>139843783</v>
      </c>
      <c r="AJ208" s="73">
        <v>93490575</v>
      </c>
      <c r="AK208" s="73">
        <v>130866168</v>
      </c>
      <c r="AL208" s="73">
        <v>138845052</v>
      </c>
      <c r="AM208" s="73">
        <v>109371152</v>
      </c>
      <c r="AN208" s="73">
        <v>101118996</v>
      </c>
      <c r="AO208" s="73">
        <v>100395526</v>
      </c>
      <c r="AP208" s="73">
        <v>127816878</v>
      </c>
      <c r="AQ208" s="73">
        <v>129679254</v>
      </c>
      <c r="AR208" s="73">
        <v>139761956</v>
      </c>
      <c r="AS208" s="73">
        <v>173036630</v>
      </c>
      <c r="AT208" s="73">
        <v>184684263</v>
      </c>
      <c r="AU208" s="73">
        <v>152427035</v>
      </c>
      <c r="AV208">
        <v>205524133</v>
      </c>
      <c r="AW208">
        <v>284325140</v>
      </c>
      <c r="AX208">
        <v>311651021</v>
      </c>
    </row>
    <row r="209" spans="1:50" ht="14.5" x14ac:dyDescent="0.35">
      <c r="A209" s="72" t="s">
        <v>405</v>
      </c>
      <c r="B209" s="72" t="str">
        <f>VLOOKUP(Tabelle_Abfrage_von_MS_Access_Database3[[#This Row],[LAND]],Texte!$A$4:$C$261,Texte!$A$1+1,FALSE)</f>
        <v>Mongolei</v>
      </c>
      <c r="C209" s="72" t="s">
        <v>508</v>
      </c>
      <c r="D209" s="72" t="s">
        <v>557</v>
      </c>
      <c r="E209" s="73">
        <v>123000</v>
      </c>
      <c r="F209" s="73">
        <v>0</v>
      </c>
      <c r="G209" s="73">
        <v>25000</v>
      </c>
      <c r="H209" s="73">
        <v>367000</v>
      </c>
      <c r="I209" s="73">
        <v>66000</v>
      </c>
      <c r="J209" s="73">
        <v>57000</v>
      </c>
      <c r="K209" s="73">
        <v>53000</v>
      </c>
      <c r="L209" s="73">
        <v>96000</v>
      </c>
      <c r="M209" s="73">
        <v>138000</v>
      </c>
      <c r="N209" s="73">
        <v>86000</v>
      </c>
      <c r="O209" s="73">
        <v>9000</v>
      </c>
      <c r="P209" s="73">
        <v>27000</v>
      </c>
      <c r="Q209" s="73">
        <v>164000</v>
      </c>
      <c r="R209" s="73">
        <v>177000</v>
      </c>
      <c r="S209" s="73">
        <v>79000</v>
      </c>
      <c r="T209" s="73">
        <v>86000</v>
      </c>
      <c r="U209" s="73">
        <v>286000</v>
      </c>
      <c r="V209" s="73">
        <v>14098</v>
      </c>
      <c r="W209" s="73">
        <v>38370</v>
      </c>
      <c r="X209" s="73">
        <v>138586</v>
      </c>
      <c r="Y209" s="73">
        <v>15625</v>
      </c>
      <c r="Z209" s="73">
        <v>87136</v>
      </c>
      <c r="AA209" s="73">
        <v>19985</v>
      </c>
      <c r="AB209" s="73">
        <v>282619</v>
      </c>
      <c r="AC209" s="73">
        <v>352269</v>
      </c>
      <c r="AD209" s="73">
        <v>454464</v>
      </c>
      <c r="AE209" s="73">
        <v>494319</v>
      </c>
      <c r="AF209" s="73">
        <v>233542</v>
      </c>
      <c r="AG209" s="73">
        <v>338931</v>
      </c>
      <c r="AH209" s="73">
        <v>562782</v>
      </c>
      <c r="AI209" s="73">
        <v>924386</v>
      </c>
      <c r="AJ209" s="73">
        <v>983835</v>
      </c>
      <c r="AK209" s="73">
        <v>1098029</v>
      </c>
      <c r="AL209" s="73">
        <v>2789592</v>
      </c>
      <c r="AM209" s="73">
        <v>4804892</v>
      </c>
      <c r="AN209" s="73">
        <v>6598158</v>
      </c>
      <c r="AO209" s="73">
        <v>2068431</v>
      </c>
      <c r="AP209" s="73">
        <v>2674735</v>
      </c>
      <c r="AQ209" s="73">
        <v>2795113</v>
      </c>
      <c r="AR209" s="73">
        <v>2379137</v>
      </c>
      <c r="AS209" s="73">
        <v>6462103</v>
      </c>
      <c r="AT209" s="73">
        <v>6193530</v>
      </c>
      <c r="AU209" s="73">
        <v>2940700</v>
      </c>
      <c r="AV209">
        <v>5988603</v>
      </c>
      <c r="AW209">
        <v>9017319</v>
      </c>
      <c r="AX209">
        <v>5393413</v>
      </c>
    </row>
    <row r="210" spans="1:50" ht="14.5" x14ac:dyDescent="0.35">
      <c r="A210" s="72" t="s">
        <v>407</v>
      </c>
      <c r="B210" s="72" t="str">
        <f>VLOOKUP(Tabelle_Abfrage_von_MS_Access_Database3[[#This Row],[LAND]],Texte!$A$4:$C$261,Texte!$A$1+1,FALSE)</f>
        <v>China</v>
      </c>
      <c r="C210" s="72" t="s">
        <v>508</v>
      </c>
      <c r="D210" s="72" t="s">
        <v>557</v>
      </c>
      <c r="E210" s="73">
        <v>30062000</v>
      </c>
      <c r="F210" s="73">
        <v>30254000</v>
      </c>
      <c r="G210" s="73">
        <v>31033000</v>
      </c>
      <c r="H210" s="73">
        <v>49484000</v>
      </c>
      <c r="I210" s="73">
        <v>36252000</v>
      </c>
      <c r="J210" s="73">
        <v>41447000</v>
      </c>
      <c r="K210" s="73">
        <v>54957000</v>
      </c>
      <c r="L210" s="73">
        <v>79275000</v>
      </c>
      <c r="M210" s="73">
        <v>65940000</v>
      </c>
      <c r="N210" s="73">
        <v>100295000</v>
      </c>
      <c r="O210" s="73">
        <v>145383000</v>
      </c>
      <c r="P210" s="73">
        <v>209002000</v>
      </c>
      <c r="Q210" s="73">
        <v>294444000</v>
      </c>
      <c r="R210" s="73">
        <v>391842000</v>
      </c>
      <c r="S210" s="73">
        <v>433694000</v>
      </c>
      <c r="T210" s="73">
        <v>565417000</v>
      </c>
      <c r="U210" s="73">
        <v>703565000</v>
      </c>
      <c r="V210" s="73">
        <v>598310986</v>
      </c>
      <c r="W210" s="73">
        <v>653351172</v>
      </c>
      <c r="X210" s="73">
        <v>783747439</v>
      </c>
      <c r="Y210" s="73">
        <v>806640811</v>
      </c>
      <c r="Z210" s="73">
        <v>916824547</v>
      </c>
      <c r="AA210" s="73">
        <v>1243202539</v>
      </c>
      <c r="AB210" s="73">
        <v>1359502447</v>
      </c>
      <c r="AC210" s="73">
        <v>1404883296</v>
      </c>
      <c r="AD210" s="73">
        <v>1788198520</v>
      </c>
      <c r="AE210" s="73">
        <v>2295803815</v>
      </c>
      <c r="AF210" s="73">
        <v>2981350864</v>
      </c>
      <c r="AG210" s="73">
        <v>3776864276</v>
      </c>
      <c r="AH210" s="73">
        <v>4585740045</v>
      </c>
      <c r="AI210" s="73">
        <v>4975157479</v>
      </c>
      <c r="AJ210" s="73">
        <v>4481556595</v>
      </c>
      <c r="AK210" s="73">
        <v>5427580905</v>
      </c>
      <c r="AL210" s="73">
        <v>6393778177</v>
      </c>
      <c r="AM210" s="73">
        <v>6750719867</v>
      </c>
      <c r="AN210" s="73">
        <v>6788047818</v>
      </c>
      <c r="AO210" s="73">
        <v>7322719196</v>
      </c>
      <c r="AP210" s="73">
        <v>7956902347</v>
      </c>
      <c r="AQ210" s="73">
        <v>7971979326</v>
      </c>
      <c r="AR210" s="73">
        <v>8505433388</v>
      </c>
      <c r="AS210" s="73">
        <v>9110251339</v>
      </c>
      <c r="AT210" s="73">
        <v>9828028807</v>
      </c>
      <c r="AU210" s="73">
        <v>10186841265</v>
      </c>
      <c r="AV210">
        <v>13105502532</v>
      </c>
      <c r="AW210">
        <v>17453332645</v>
      </c>
      <c r="AX210">
        <v>15162034346</v>
      </c>
    </row>
    <row r="211" spans="1:50" ht="14.5" x14ac:dyDescent="0.35">
      <c r="A211" s="72" t="s">
        <v>409</v>
      </c>
      <c r="B211" s="72" t="str">
        <f>VLOOKUP(Tabelle_Abfrage_von_MS_Access_Database3[[#This Row],[LAND]],Texte!$A$4:$C$261,Texte!$A$1+1,FALSE)</f>
        <v>Nordkorea</v>
      </c>
      <c r="C211" s="72" t="s">
        <v>508</v>
      </c>
      <c r="D211" s="72" t="s">
        <v>557</v>
      </c>
      <c r="E211" s="73">
        <v>2517000</v>
      </c>
      <c r="F211" s="73">
        <v>1194000</v>
      </c>
      <c r="G211" s="73">
        <v>557000</v>
      </c>
      <c r="H211" s="73">
        <v>274000</v>
      </c>
      <c r="I211" s="73">
        <v>540000</v>
      </c>
      <c r="J211" s="73">
        <v>488000</v>
      </c>
      <c r="K211" s="73">
        <v>4700000</v>
      </c>
      <c r="L211" s="73">
        <v>298000</v>
      </c>
      <c r="M211" s="73">
        <v>307000</v>
      </c>
      <c r="N211" s="73">
        <v>671000</v>
      </c>
      <c r="O211" s="73">
        <v>10502000</v>
      </c>
      <c r="P211" s="73">
        <v>1103000</v>
      </c>
      <c r="Q211" s="73">
        <v>602000</v>
      </c>
      <c r="R211" s="73">
        <v>1217000</v>
      </c>
      <c r="S211" s="73">
        <v>2016000</v>
      </c>
      <c r="T211" s="73">
        <v>2813000</v>
      </c>
      <c r="U211" s="73">
        <v>2808000</v>
      </c>
      <c r="V211" s="73">
        <v>2046241</v>
      </c>
      <c r="W211" s="73">
        <v>2186006</v>
      </c>
      <c r="X211" s="73">
        <v>1435585</v>
      </c>
      <c r="Y211" s="73">
        <v>2560116</v>
      </c>
      <c r="Z211" s="73">
        <v>2396530</v>
      </c>
      <c r="AA211" s="73">
        <v>2257578</v>
      </c>
      <c r="AB211" s="73">
        <v>2056108</v>
      </c>
      <c r="AC211" s="73">
        <v>1439021</v>
      </c>
      <c r="AD211" s="73">
        <v>1296581</v>
      </c>
      <c r="AE211" s="73">
        <v>1032250</v>
      </c>
      <c r="AF211" s="73">
        <v>586148</v>
      </c>
      <c r="AG211" s="73">
        <v>984618</v>
      </c>
      <c r="AH211" s="73">
        <v>624541</v>
      </c>
      <c r="AI211" s="73">
        <v>179355</v>
      </c>
      <c r="AJ211" s="73">
        <v>349093</v>
      </c>
      <c r="AK211" s="73">
        <v>413763</v>
      </c>
      <c r="AL211" s="73">
        <v>327724</v>
      </c>
      <c r="AM211" s="73">
        <v>662300</v>
      </c>
      <c r="AN211" s="73">
        <v>384405</v>
      </c>
      <c r="AO211" s="73">
        <v>124088</v>
      </c>
      <c r="AP211" s="73">
        <v>807977</v>
      </c>
      <c r="AQ211" s="73">
        <v>750293</v>
      </c>
      <c r="AR211" s="73">
        <v>925275</v>
      </c>
      <c r="AS211" s="73">
        <v>1068876</v>
      </c>
      <c r="AT211" s="73">
        <v>912533</v>
      </c>
      <c r="AU211" s="73">
        <v>200451</v>
      </c>
      <c r="AV211">
        <v>4106</v>
      </c>
      <c r="AW211">
        <v>3389541</v>
      </c>
      <c r="AX211">
        <v>10091077</v>
      </c>
    </row>
    <row r="212" spans="1:50" ht="14.5" x14ac:dyDescent="0.35">
      <c r="A212" s="72" t="s">
        <v>411</v>
      </c>
      <c r="B212" s="72" t="str">
        <f>VLOOKUP(Tabelle_Abfrage_von_MS_Access_Database3[[#This Row],[LAND]],Texte!$A$4:$C$261,Texte!$A$1+1,FALSE)</f>
        <v>Südkorea</v>
      </c>
      <c r="C212" s="72" t="s">
        <v>508</v>
      </c>
      <c r="D212" s="72" t="s">
        <v>557</v>
      </c>
      <c r="E212" s="73">
        <v>48417000</v>
      </c>
      <c r="F212" s="73">
        <v>55935000</v>
      </c>
      <c r="G212" s="73">
        <v>64422000</v>
      </c>
      <c r="H212" s="73">
        <v>68739000</v>
      </c>
      <c r="I212" s="73">
        <v>76865000</v>
      </c>
      <c r="J212" s="73">
        <v>98563000</v>
      </c>
      <c r="K212" s="73">
        <v>118447000</v>
      </c>
      <c r="L212" s="73">
        <v>115529000</v>
      </c>
      <c r="M212" s="73">
        <v>127345000</v>
      </c>
      <c r="N212" s="73">
        <v>206295000</v>
      </c>
      <c r="O212" s="73">
        <v>269088000</v>
      </c>
      <c r="P212" s="73">
        <v>249326000</v>
      </c>
      <c r="Q212" s="73">
        <v>218902000</v>
      </c>
      <c r="R212" s="73">
        <v>279547000</v>
      </c>
      <c r="S212" s="73">
        <v>244193000</v>
      </c>
      <c r="T212" s="73">
        <v>244241000</v>
      </c>
      <c r="U212" s="73">
        <v>224755000</v>
      </c>
      <c r="V212" s="73">
        <v>203542426</v>
      </c>
      <c r="W212" s="73">
        <v>185199523</v>
      </c>
      <c r="X212" s="73">
        <v>189672519</v>
      </c>
      <c r="Y212" s="73">
        <v>218971204</v>
      </c>
      <c r="Z212" s="73">
        <v>288864110</v>
      </c>
      <c r="AA212" s="73">
        <v>362531624</v>
      </c>
      <c r="AB212" s="73">
        <v>377824842</v>
      </c>
      <c r="AC212" s="73">
        <v>531865500</v>
      </c>
      <c r="AD212" s="73">
        <v>512077446</v>
      </c>
      <c r="AE212" s="73">
        <v>689540038</v>
      </c>
      <c r="AF212" s="73">
        <v>821768659</v>
      </c>
      <c r="AG212" s="73">
        <v>759680509</v>
      </c>
      <c r="AH212" s="73">
        <v>696714126</v>
      </c>
      <c r="AI212" s="73">
        <v>589107879</v>
      </c>
      <c r="AJ212" s="73">
        <v>515420998</v>
      </c>
      <c r="AK212" s="73">
        <v>478522121</v>
      </c>
      <c r="AL212" s="73">
        <v>585658353</v>
      </c>
      <c r="AM212" s="73">
        <v>725745829</v>
      </c>
      <c r="AN212" s="73">
        <v>804723992</v>
      </c>
      <c r="AO212" s="73">
        <v>770925620</v>
      </c>
      <c r="AP212" s="73">
        <v>712171560</v>
      </c>
      <c r="AQ212" s="73">
        <v>754967009</v>
      </c>
      <c r="AR212" s="73">
        <v>845460079</v>
      </c>
      <c r="AS212" s="73">
        <v>860099266</v>
      </c>
      <c r="AT212" s="73">
        <v>757291464</v>
      </c>
      <c r="AU212" s="73">
        <v>809947143</v>
      </c>
      <c r="AV212">
        <v>944340866</v>
      </c>
      <c r="AW212">
        <v>1095438837</v>
      </c>
      <c r="AX212">
        <v>1200446349</v>
      </c>
    </row>
    <row r="213" spans="1:50" ht="14.5" x14ac:dyDescent="0.35">
      <c r="A213" s="72" t="s">
        <v>413</v>
      </c>
      <c r="B213" s="72" t="str">
        <f>VLOOKUP(Tabelle_Abfrage_von_MS_Access_Database3[[#This Row],[LAND]],Texte!$A$4:$C$261,Texte!$A$1+1,FALSE)</f>
        <v>Japan</v>
      </c>
      <c r="C213" s="72" t="s">
        <v>508</v>
      </c>
      <c r="D213" s="72" t="s">
        <v>557</v>
      </c>
      <c r="E213" s="73">
        <v>311023000</v>
      </c>
      <c r="F213" s="73">
        <v>367915000</v>
      </c>
      <c r="G213" s="73">
        <v>554168000</v>
      </c>
      <c r="H213" s="73">
        <v>665710000</v>
      </c>
      <c r="I213" s="73">
        <v>680542000</v>
      </c>
      <c r="J213" s="73">
        <v>886562000</v>
      </c>
      <c r="K213" s="73">
        <v>929731000</v>
      </c>
      <c r="L213" s="73">
        <v>1028310000</v>
      </c>
      <c r="M213" s="73">
        <v>1299466000</v>
      </c>
      <c r="N213" s="73">
        <v>1304165000</v>
      </c>
      <c r="O213" s="73">
        <v>1681118000</v>
      </c>
      <c r="P213" s="73">
        <v>1850071000</v>
      </c>
      <c r="Q213" s="73">
        <v>1834491000</v>
      </c>
      <c r="R213" s="73">
        <v>2080354000</v>
      </c>
      <c r="S213" s="73">
        <v>2039709000</v>
      </c>
      <c r="T213" s="73">
        <v>1801718000</v>
      </c>
      <c r="U213" s="73">
        <v>1956013000</v>
      </c>
      <c r="V213" s="73">
        <v>1195975806</v>
      </c>
      <c r="W213" s="73">
        <v>1250809715</v>
      </c>
      <c r="X213" s="73">
        <v>1260548279</v>
      </c>
      <c r="Y213" s="73">
        <v>1432302683</v>
      </c>
      <c r="Z213" s="73">
        <v>1633554763</v>
      </c>
      <c r="AA213" s="73">
        <v>2015324394</v>
      </c>
      <c r="AB213" s="73">
        <v>1757884001</v>
      </c>
      <c r="AC213" s="73">
        <v>1645810544</v>
      </c>
      <c r="AD213" s="73">
        <v>1813865331</v>
      </c>
      <c r="AE213" s="73">
        <v>1998858577</v>
      </c>
      <c r="AF213" s="73">
        <v>1885106702</v>
      </c>
      <c r="AG213" s="73">
        <v>1931185253</v>
      </c>
      <c r="AH213" s="73">
        <v>1872813283</v>
      </c>
      <c r="AI213" s="73">
        <v>1883858129</v>
      </c>
      <c r="AJ213" s="73">
        <v>1513555927</v>
      </c>
      <c r="AK213" s="73">
        <v>1777157707</v>
      </c>
      <c r="AL213" s="73">
        <v>1953996810</v>
      </c>
      <c r="AM213" s="73">
        <v>1779811019</v>
      </c>
      <c r="AN213" s="73">
        <v>1689543042</v>
      </c>
      <c r="AO213" s="73">
        <v>1746117663</v>
      </c>
      <c r="AP213" s="73">
        <v>1867265154</v>
      </c>
      <c r="AQ213" s="73">
        <v>1973330836</v>
      </c>
      <c r="AR213" s="73">
        <v>2149015240</v>
      </c>
      <c r="AS213" s="73">
        <v>2240201752</v>
      </c>
      <c r="AT213" s="73">
        <v>2245055422</v>
      </c>
      <c r="AU213" s="73">
        <v>2050290112</v>
      </c>
      <c r="AV213">
        <v>2242895065</v>
      </c>
      <c r="AW213">
        <v>2521025413</v>
      </c>
      <c r="AX213">
        <v>2803880939</v>
      </c>
    </row>
    <row r="214" spans="1:50" ht="14.5" x14ac:dyDescent="0.35">
      <c r="A214" s="72" t="s">
        <v>415</v>
      </c>
      <c r="B214" s="72" t="str">
        <f>VLOOKUP(Tabelle_Abfrage_von_MS_Access_Database3[[#This Row],[LAND]],Texte!$A$4:$C$261,Texte!$A$1+1,FALSE)</f>
        <v>Taiwan</v>
      </c>
      <c r="C214" s="72" t="s">
        <v>508</v>
      </c>
      <c r="D214" s="72" t="s">
        <v>557</v>
      </c>
      <c r="E214" s="73">
        <v>36173000</v>
      </c>
      <c r="F214" s="73">
        <v>42894000</v>
      </c>
      <c r="G214" s="73">
        <v>65159000</v>
      </c>
      <c r="H214" s="73">
        <v>76951000</v>
      </c>
      <c r="I214" s="73">
        <v>75211000</v>
      </c>
      <c r="J214" s="73">
        <v>91335000</v>
      </c>
      <c r="K214" s="73">
        <v>119449000</v>
      </c>
      <c r="L214" s="73">
        <v>128406000</v>
      </c>
      <c r="M214" s="73">
        <v>150751000</v>
      </c>
      <c r="N214" s="73">
        <v>203196000</v>
      </c>
      <c r="O214" s="73">
        <v>278638000</v>
      </c>
      <c r="P214" s="73">
        <v>307965000</v>
      </c>
      <c r="Q214" s="73">
        <v>343629000</v>
      </c>
      <c r="R214" s="73">
        <v>431632000</v>
      </c>
      <c r="S214" s="73">
        <v>421621000</v>
      </c>
      <c r="T214" s="73">
        <v>404812000</v>
      </c>
      <c r="U214" s="73">
        <v>435904000</v>
      </c>
      <c r="V214" s="73">
        <v>338853590</v>
      </c>
      <c r="W214" s="73">
        <v>356309595</v>
      </c>
      <c r="X214" s="73">
        <v>405078964</v>
      </c>
      <c r="Y214" s="73">
        <v>441021997</v>
      </c>
      <c r="Z214" s="73">
        <v>527450062</v>
      </c>
      <c r="AA214" s="73">
        <v>640024112</v>
      </c>
      <c r="AB214" s="73">
        <v>675246787</v>
      </c>
      <c r="AC214" s="73">
        <v>519750550</v>
      </c>
      <c r="AD214" s="73">
        <v>429395080</v>
      </c>
      <c r="AE214" s="73">
        <v>515320393</v>
      </c>
      <c r="AF214" s="73">
        <v>540088282</v>
      </c>
      <c r="AG214" s="73">
        <v>554524435</v>
      </c>
      <c r="AH214" s="73">
        <v>566419482</v>
      </c>
      <c r="AI214" s="73">
        <v>630359387</v>
      </c>
      <c r="AJ214" s="73">
        <v>429100302</v>
      </c>
      <c r="AK214" s="73">
        <v>539549692</v>
      </c>
      <c r="AL214" s="73">
        <v>533326233</v>
      </c>
      <c r="AM214" s="73">
        <v>517631308</v>
      </c>
      <c r="AN214" s="73">
        <v>530894159</v>
      </c>
      <c r="AO214" s="73">
        <v>543724325</v>
      </c>
      <c r="AP214" s="73">
        <v>594125135</v>
      </c>
      <c r="AQ214" s="73">
        <v>617839215</v>
      </c>
      <c r="AR214" s="73">
        <v>678540539</v>
      </c>
      <c r="AS214" s="73">
        <v>744937792</v>
      </c>
      <c r="AT214" s="73">
        <v>798057203</v>
      </c>
      <c r="AU214" s="73">
        <v>800060391</v>
      </c>
      <c r="AV214">
        <v>1026072966</v>
      </c>
      <c r="AW214">
        <v>1414162687</v>
      </c>
      <c r="AX214">
        <v>1443566848</v>
      </c>
    </row>
    <row r="215" spans="1:50" ht="14.5" x14ac:dyDescent="0.35">
      <c r="A215" s="72" t="s">
        <v>417</v>
      </c>
      <c r="B215" s="72" t="str">
        <f>VLOOKUP(Tabelle_Abfrage_von_MS_Access_Database3[[#This Row],[LAND]],Texte!$A$4:$C$261,Texte!$A$1+1,FALSE)</f>
        <v>Hongkong</v>
      </c>
      <c r="C215" s="72" t="s">
        <v>508</v>
      </c>
      <c r="D215" s="72" t="s">
        <v>557</v>
      </c>
      <c r="E215" s="73">
        <v>80207000</v>
      </c>
      <c r="F215" s="73">
        <v>97513000</v>
      </c>
      <c r="G215" s="73">
        <v>116582000</v>
      </c>
      <c r="H215" s="73">
        <v>122022000</v>
      </c>
      <c r="I215" s="73">
        <v>117592000</v>
      </c>
      <c r="J215" s="73">
        <v>122801000</v>
      </c>
      <c r="K215" s="73">
        <v>147366000</v>
      </c>
      <c r="L215" s="73">
        <v>138035000</v>
      </c>
      <c r="M215" s="73">
        <v>140730000</v>
      </c>
      <c r="N215" s="73">
        <v>159839000</v>
      </c>
      <c r="O215" s="73">
        <v>188479000</v>
      </c>
      <c r="P215" s="73">
        <v>205413000</v>
      </c>
      <c r="Q215" s="73">
        <v>206594000</v>
      </c>
      <c r="R215" s="73">
        <v>228847000</v>
      </c>
      <c r="S215" s="73">
        <v>207037000</v>
      </c>
      <c r="T215" s="73">
        <v>198511000</v>
      </c>
      <c r="U215" s="73">
        <v>213098000</v>
      </c>
      <c r="V215" s="73">
        <v>184251634</v>
      </c>
      <c r="W215" s="73">
        <v>167018006</v>
      </c>
      <c r="X215" s="73">
        <v>190024399</v>
      </c>
      <c r="Y215" s="73">
        <v>185100743</v>
      </c>
      <c r="Z215" s="73">
        <v>198615068</v>
      </c>
      <c r="AA215" s="73">
        <v>189058470</v>
      </c>
      <c r="AB215" s="73">
        <v>406131023</v>
      </c>
      <c r="AC215" s="73">
        <v>142726814</v>
      </c>
      <c r="AD215" s="73">
        <v>139916498</v>
      </c>
      <c r="AE215" s="73">
        <v>164323753</v>
      </c>
      <c r="AF215" s="73">
        <v>149643445</v>
      </c>
      <c r="AG215" s="73">
        <v>178152918</v>
      </c>
      <c r="AH215" s="73">
        <v>152848859</v>
      </c>
      <c r="AI215" s="73">
        <v>145611587</v>
      </c>
      <c r="AJ215" s="73">
        <v>116288411</v>
      </c>
      <c r="AK215" s="73">
        <v>103942023</v>
      </c>
      <c r="AL215" s="73">
        <v>112164212</v>
      </c>
      <c r="AM215" s="73">
        <v>95523569</v>
      </c>
      <c r="AN215" s="73">
        <v>85757603</v>
      </c>
      <c r="AO215" s="73">
        <v>81960942</v>
      </c>
      <c r="AP215" s="73">
        <v>90372875</v>
      </c>
      <c r="AQ215" s="73">
        <v>136245868</v>
      </c>
      <c r="AR215" s="73">
        <v>137712237</v>
      </c>
      <c r="AS215" s="73">
        <v>222037097</v>
      </c>
      <c r="AT215" s="73">
        <v>98170169</v>
      </c>
      <c r="AU215" s="73">
        <v>107304696</v>
      </c>
      <c r="AV215">
        <v>104862815</v>
      </c>
      <c r="AW215">
        <v>106153499</v>
      </c>
      <c r="AX215">
        <v>861559819</v>
      </c>
    </row>
    <row r="216" spans="1:50" ht="14.5" x14ac:dyDescent="0.35">
      <c r="A216" s="72" t="s">
        <v>419</v>
      </c>
      <c r="B216" s="72" t="str">
        <f>VLOOKUP(Tabelle_Abfrage_von_MS_Access_Database3[[#This Row],[LAND]],Texte!$A$4:$C$261,Texte!$A$1+1,FALSE)</f>
        <v>Macau</v>
      </c>
      <c r="C216" s="72" t="s">
        <v>508</v>
      </c>
      <c r="D216" s="72" t="s">
        <v>557</v>
      </c>
      <c r="E216" s="73">
        <v>3059000</v>
      </c>
      <c r="F216" s="73">
        <v>3277000</v>
      </c>
      <c r="G216" s="73">
        <v>4843000</v>
      </c>
      <c r="H216" s="73">
        <v>5390000</v>
      </c>
      <c r="I216" s="73">
        <v>4438000</v>
      </c>
      <c r="J216" s="73">
        <v>5218000</v>
      </c>
      <c r="K216" s="73">
        <v>6570000</v>
      </c>
      <c r="L216" s="73">
        <v>6831000</v>
      </c>
      <c r="M216" s="73">
        <v>8697000</v>
      </c>
      <c r="N216" s="73">
        <v>11113000</v>
      </c>
      <c r="O216" s="73">
        <v>11686000</v>
      </c>
      <c r="P216" s="73">
        <v>10001000</v>
      </c>
      <c r="Q216" s="73">
        <v>13256000</v>
      </c>
      <c r="R216" s="73">
        <v>12560000</v>
      </c>
      <c r="S216" s="73">
        <v>10133000</v>
      </c>
      <c r="T216" s="73">
        <v>9655000</v>
      </c>
      <c r="U216" s="73">
        <v>11229000</v>
      </c>
      <c r="V216" s="73">
        <v>12501037</v>
      </c>
      <c r="W216" s="73">
        <v>13244616</v>
      </c>
      <c r="X216" s="73">
        <v>15169948</v>
      </c>
      <c r="Y216" s="73">
        <v>12917227</v>
      </c>
      <c r="Z216" s="73">
        <v>15477062</v>
      </c>
      <c r="AA216" s="73">
        <v>15857863</v>
      </c>
      <c r="AB216" s="73">
        <v>17618198</v>
      </c>
      <c r="AC216" s="73">
        <v>18237470</v>
      </c>
      <c r="AD216" s="73">
        <v>16327224</v>
      </c>
      <c r="AE216" s="73">
        <v>17192387</v>
      </c>
      <c r="AF216" s="73">
        <v>8421752</v>
      </c>
      <c r="AG216" s="73">
        <v>15345702</v>
      </c>
      <c r="AH216" s="73">
        <v>12763120</v>
      </c>
      <c r="AI216" s="73">
        <v>4719836</v>
      </c>
      <c r="AJ216" s="73">
        <v>2582074</v>
      </c>
      <c r="AK216" s="73">
        <v>1758037</v>
      </c>
      <c r="AL216" s="73">
        <v>1246504</v>
      </c>
      <c r="AM216" s="73">
        <v>1354614</v>
      </c>
      <c r="AN216" s="73">
        <v>1242164</v>
      </c>
      <c r="AO216" s="73">
        <v>1384215</v>
      </c>
      <c r="AP216" s="73">
        <v>1273402</v>
      </c>
      <c r="AQ216" s="73">
        <v>1857880</v>
      </c>
      <c r="AR216" s="73">
        <v>2108125</v>
      </c>
      <c r="AS216" s="73">
        <v>940738</v>
      </c>
      <c r="AT216" s="73">
        <v>1622759</v>
      </c>
      <c r="AU216" s="73">
        <v>730090</v>
      </c>
      <c r="AV216">
        <v>663295</v>
      </c>
      <c r="AW216">
        <v>1480323</v>
      </c>
      <c r="AX216">
        <v>1374333</v>
      </c>
    </row>
    <row r="217" spans="1:50" ht="14.5" x14ac:dyDescent="0.35">
      <c r="A217" s="72" t="s">
        <v>421</v>
      </c>
      <c r="B217" s="72" t="str">
        <f>VLOOKUP(Tabelle_Abfrage_von_MS_Access_Database3[[#This Row],[LAND]],Texte!$A$4:$C$261,Texte!$A$1+1,FALSE)</f>
        <v>Australien</v>
      </c>
      <c r="C217" s="72" t="s">
        <v>508</v>
      </c>
      <c r="D217" s="72" t="s">
        <v>557</v>
      </c>
      <c r="E217" s="73">
        <v>42031000</v>
      </c>
      <c r="F217" s="73">
        <v>38159000</v>
      </c>
      <c r="G217" s="73">
        <v>36680000</v>
      </c>
      <c r="H217" s="73">
        <v>34812000</v>
      </c>
      <c r="I217" s="73">
        <v>29043000</v>
      </c>
      <c r="J217" s="73">
        <v>22719000</v>
      </c>
      <c r="K217" s="73">
        <v>30385000</v>
      </c>
      <c r="L217" s="73">
        <v>34518000</v>
      </c>
      <c r="M217" s="73">
        <v>29429000</v>
      </c>
      <c r="N217" s="73">
        <v>32826000</v>
      </c>
      <c r="O217" s="73">
        <v>28968000</v>
      </c>
      <c r="P217" s="73">
        <v>24650000</v>
      </c>
      <c r="Q217" s="73">
        <v>19594000</v>
      </c>
      <c r="R217" s="73">
        <v>24307000</v>
      </c>
      <c r="S217" s="73">
        <v>26545000</v>
      </c>
      <c r="T217" s="73">
        <v>22574000</v>
      </c>
      <c r="U217" s="73">
        <v>27264000</v>
      </c>
      <c r="V217" s="73">
        <v>16478872</v>
      </c>
      <c r="W217" s="73">
        <v>18045902</v>
      </c>
      <c r="X217" s="73">
        <v>22734317</v>
      </c>
      <c r="Y217" s="73">
        <v>30687977</v>
      </c>
      <c r="Z217" s="73">
        <v>36106544</v>
      </c>
      <c r="AA217" s="73">
        <v>31661449</v>
      </c>
      <c r="AB217" s="73">
        <v>49259946</v>
      </c>
      <c r="AC217" s="73">
        <v>42732253</v>
      </c>
      <c r="AD217" s="73">
        <v>46891469</v>
      </c>
      <c r="AE217" s="73">
        <v>57222445</v>
      </c>
      <c r="AF217" s="73">
        <v>62621040</v>
      </c>
      <c r="AG217" s="73">
        <v>83156399</v>
      </c>
      <c r="AH217" s="73">
        <v>100053758</v>
      </c>
      <c r="AI217" s="73">
        <v>75469435</v>
      </c>
      <c r="AJ217" s="73">
        <v>52257975</v>
      </c>
      <c r="AK217" s="73">
        <v>52039620</v>
      </c>
      <c r="AL217" s="73">
        <v>81301138</v>
      </c>
      <c r="AM217" s="73">
        <v>65895485</v>
      </c>
      <c r="AN217" s="73">
        <v>66500193</v>
      </c>
      <c r="AO217" s="73">
        <v>86871787</v>
      </c>
      <c r="AP217" s="73">
        <v>91111820</v>
      </c>
      <c r="AQ217" s="73">
        <v>137320896</v>
      </c>
      <c r="AR217" s="73">
        <v>143683100</v>
      </c>
      <c r="AS217" s="73">
        <v>126717945</v>
      </c>
      <c r="AT217" s="73">
        <v>117424766</v>
      </c>
      <c r="AU217" s="73">
        <v>117851990</v>
      </c>
      <c r="AV217">
        <v>127599506</v>
      </c>
      <c r="AW217">
        <v>252793040</v>
      </c>
      <c r="AX217">
        <v>219041241</v>
      </c>
    </row>
    <row r="218" spans="1:50" ht="14.5" x14ac:dyDescent="0.35">
      <c r="A218" s="72" t="s">
        <v>423</v>
      </c>
      <c r="B218" s="72" t="str">
        <f>VLOOKUP(Tabelle_Abfrage_von_MS_Access_Database3[[#This Row],[LAND]],Texte!$A$4:$C$261,Texte!$A$1+1,FALSE)</f>
        <v>Papua-Neuguinea</v>
      </c>
      <c r="C218" s="72" t="s">
        <v>508</v>
      </c>
      <c r="D218" s="72" t="s">
        <v>557</v>
      </c>
      <c r="E218" s="73">
        <v>1525000</v>
      </c>
      <c r="F218" s="73">
        <v>1274000</v>
      </c>
      <c r="G218" s="73">
        <v>938000</v>
      </c>
      <c r="H218" s="73">
        <v>1222000</v>
      </c>
      <c r="I218" s="73">
        <v>1643000</v>
      </c>
      <c r="J218" s="73">
        <v>874000</v>
      </c>
      <c r="K218" s="73">
        <v>2000000</v>
      </c>
      <c r="L218" s="73">
        <v>1387000</v>
      </c>
      <c r="M218" s="73">
        <v>1621000</v>
      </c>
      <c r="N218" s="73">
        <v>1562000</v>
      </c>
      <c r="O218" s="73">
        <v>1275000</v>
      </c>
      <c r="P218" s="73">
        <v>4478000</v>
      </c>
      <c r="Q218" s="73">
        <v>2861000</v>
      </c>
      <c r="R218" s="73">
        <v>655000</v>
      </c>
      <c r="S218" s="73">
        <v>1334000</v>
      </c>
      <c r="T218" s="73">
        <v>984000</v>
      </c>
      <c r="U218" s="73">
        <v>1832000</v>
      </c>
      <c r="V218" s="73">
        <v>2592818</v>
      </c>
      <c r="W218" s="73">
        <v>1530706</v>
      </c>
      <c r="X218" s="73">
        <v>2080477</v>
      </c>
      <c r="Y218" s="73">
        <v>1511303</v>
      </c>
      <c r="Z218" s="73">
        <v>1444372</v>
      </c>
      <c r="AA218" s="73">
        <v>1203679</v>
      </c>
      <c r="AB218" s="73">
        <v>715422</v>
      </c>
      <c r="AC218" s="73">
        <v>463915</v>
      </c>
      <c r="AD218" s="73">
        <v>493808</v>
      </c>
      <c r="AE218" s="73">
        <v>1104740</v>
      </c>
      <c r="AF218" s="73">
        <v>923186</v>
      </c>
      <c r="AG218" s="73">
        <v>1104167</v>
      </c>
      <c r="AH218" s="73">
        <v>508036</v>
      </c>
      <c r="AI218" s="73">
        <v>331058</v>
      </c>
      <c r="AJ218" s="73">
        <v>595750</v>
      </c>
      <c r="AK218" s="73">
        <v>419841</v>
      </c>
      <c r="AL218" s="73">
        <v>1324664</v>
      </c>
      <c r="AM218" s="73">
        <v>999115</v>
      </c>
      <c r="AN218" s="73">
        <v>1251440</v>
      </c>
      <c r="AO218" s="73">
        <v>1592641</v>
      </c>
      <c r="AP218" s="73">
        <v>2819283</v>
      </c>
      <c r="AQ218" s="73">
        <v>3026994</v>
      </c>
      <c r="AR218" s="73">
        <v>3105141</v>
      </c>
      <c r="AS218" s="73">
        <v>3590790</v>
      </c>
      <c r="AT218" s="73">
        <v>2251222</v>
      </c>
      <c r="AU218" s="73">
        <v>1029428</v>
      </c>
      <c r="AV218">
        <v>2887258</v>
      </c>
      <c r="AW218">
        <v>3370518</v>
      </c>
      <c r="AX218">
        <v>5353303</v>
      </c>
    </row>
    <row r="219" spans="1:50" ht="14.5" x14ac:dyDescent="0.35">
      <c r="A219" s="72" t="s">
        <v>425</v>
      </c>
      <c r="B219" s="72" t="str">
        <f>VLOOKUP(Tabelle_Abfrage_von_MS_Access_Database3[[#This Row],[LAND]],Texte!$A$4:$C$261,Texte!$A$1+1,FALSE)</f>
        <v>Austral.Ozeanien</v>
      </c>
      <c r="C219" s="72" t="s">
        <v>525</v>
      </c>
      <c r="D219" s="72" t="s">
        <v>531</v>
      </c>
      <c r="E219" s="73">
        <v>0</v>
      </c>
      <c r="F219" s="73">
        <v>0</v>
      </c>
      <c r="G219" s="73">
        <v>0</v>
      </c>
      <c r="H219" s="73">
        <v>0</v>
      </c>
      <c r="I219" s="73">
        <v>0</v>
      </c>
      <c r="J219" s="73">
        <v>0</v>
      </c>
      <c r="K219" s="73">
        <v>0</v>
      </c>
      <c r="L219" s="73">
        <v>0</v>
      </c>
      <c r="M219" s="73">
        <v>0</v>
      </c>
      <c r="N219" s="73">
        <v>0</v>
      </c>
      <c r="O219" s="73">
        <v>0</v>
      </c>
      <c r="P219" s="73">
        <v>0</v>
      </c>
      <c r="Q219" s="73">
        <v>0</v>
      </c>
      <c r="R219" s="73">
        <v>0</v>
      </c>
      <c r="S219" s="73">
        <v>0</v>
      </c>
      <c r="T219" s="73">
        <v>0</v>
      </c>
      <c r="U219" s="73">
        <v>0</v>
      </c>
      <c r="V219" s="73">
        <v>276156</v>
      </c>
      <c r="W219" s="73">
        <v>15624</v>
      </c>
      <c r="X219" s="73">
        <v>24200</v>
      </c>
      <c r="Y219" s="73">
        <v>10538</v>
      </c>
      <c r="Z219" s="73">
        <v>73</v>
      </c>
      <c r="AA219" s="73">
        <v>291</v>
      </c>
      <c r="AB219" s="74"/>
      <c r="AC219" s="74"/>
      <c r="AD219" s="74"/>
      <c r="AE219" s="74"/>
      <c r="AF219" s="74"/>
      <c r="AG219" s="74"/>
      <c r="AH219" s="74"/>
      <c r="AI219" s="74"/>
      <c r="AJ219" s="74"/>
      <c r="AK219" s="74"/>
      <c r="AL219" s="74"/>
      <c r="AM219" s="74"/>
      <c r="AN219" s="74"/>
      <c r="AO219" s="74"/>
      <c r="AP219" s="74"/>
      <c r="AQ219" s="74"/>
      <c r="AR219" s="74"/>
      <c r="AS219" s="74"/>
      <c r="AT219" s="74"/>
      <c r="AU219" s="74"/>
    </row>
    <row r="220" spans="1:50" ht="14.5" x14ac:dyDescent="0.35">
      <c r="A220" s="72" t="s">
        <v>427</v>
      </c>
      <c r="B220" s="72" t="str">
        <f>VLOOKUP(Tabelle_Abfrage_von_MS_Access_Database3[[#This Row],[LAND]],Texte!$A$4:$C$261,Texte!$A$1+1,FALSE)</f>
        <v>Nauru</v>
      </c>
      <c r="C220" s="72" t="s">
        <v>508</v>
      </c>
      <c r="D220" s="72" t="s">
        <v>557</v>
      </c>
      <c r="E220" s="73">
        <v>5000</v>
      </c>
      <c r="F220" s="73">
        <v>0</v>
      </c>
      <c r="G220" s="73">
        <v>0</v>
      </c>
      <c r="H220" s="73">
        <v>0</v>
      </c>
      <c r="I220" s="73">
        <v>1000</v>
      </c>
      <c r="J220" s="73">
        <v>0</v>
      </c>
      <c r="K220" s="73">
        <v>0</v>
      </c>
      <c r="L220" s="73">
        <v>0</v>
      </c>
      <c r="M220" s="73">
        <v>0</v>
      </c>
      <c r="N220" s="73">
        <v>0</v>
      </c>
      <c r="O220" s="73">
        <v>0</v>
      </c>
      <c r="P220" s="73">
        <v>12000</v>
      </c>
      <c r="Q220" s="73">
        <v>2000</v>
      </c>
      <c r="R220" s="73">
        <v>3000</v>
      </c>
      <c r="S220" s="73">
        <v>5000</v>
      </c>
      <c r="T220" s="73">
        <v>15000</v>
      </c>
      <c r="U220" s="73">
        <v>1000</v>
      </c>
      <c r="V220" s="73">
        <v>103558</v>
      </c>
      <c r="W220" s="73">
        <v>3198</v>
      </c>
      <c r="X220" s="73">
        <v>436</v>
      </c>
      <c r="Y220" s="73">
        <v>6976</v>
      </c>
      <c r="Z220" s="73">
        <v>13444</v>
      </c>
      <c r="AA220" s="73">
        <v>93457</v>
      </c>
      <c r="AB220" s="73">
        <v>7427</v>
      </c>
      <c r="AC220" s="73">
        <v>2329</v>
      </c>
      <c r="AD220" s="73">
        <v>27440</v>
      </c>
      <c r="AE220" s="73">
        <v>912</v>
      </c>
      <c r="AF220" s="73">
        <v>8720</v>
      </c>
      <c r="AG220" s="73">
        <v>195635</v>
      </c>
      <c r="AH220" s="73">
        <v>500</v>
      </c>
      <c r="AI220" s="73">
        <v>552</v>
      </c>
      <c r="AJ220" s="73">
        <v>36</v>
      </c>
      <c r="AK220" s="73">
        <v>130</v>
      </c>
      <c r="AL220" s="73">
        <v>242</v>
      </c>
      <c r="AM220" s="73">
        <v>25</v>
      </c>
      <c r="AN220" s="73">
        <v>0</v>
      </c>
      <c r="AO220" s="74"/>
      <c r="AP220" s="73">
        <v>82320</v>
      </c>
      <c r="AQ220" s="73">
        <v>0</v>
      </c>
      <c r="AR220" s="73">
        <v>32446</v>
      </c>
      <c r="AS220" s="73">
        <v>4853</v>
      </c>
      <c r="AT220" s="73">
        <v>15290</v>
      </c>
      <c r="AU220" s="73">
        <v>9943</v>
      </c>
      <c r="AV220">
        <v>13278</v>
      </c>
      <c r="AW220">
        <v>8246</v>
      </c>
      <c r="AX220">
        <v>225800</v>
      </c>
    </row>
    <row r="221" spans="1:50" ht="14.5" x14ac:dyDescent="0.35">
      <c r="A221" s="72" t="s">
        <v>429</v>
      </c>
      <c r="B221" s="72" t="str">
        <f>VLOOKUP(Tabelle_Abfrage_von_MS_Access_Database3[[#This Row],[LAND]],Texte!$A$4:$C$261,Texte!$A$1+1,FALSE)</f>
        <v>Neuseeland</v>
      </c>
      <c r="C221" s="72" t="s">
        <v>508</v>
      </c>
      <c r="D221" s="72" t="s">
        <v>557</v>
      </c>
      <c r="E221" s="73">
        <v>8677000</v>
      </c>
      <c r="F221" s="73">
        <v>10108000</v>
      </c>
      <c r="G221" s="73">
        <v>11246000</v>
      </c>
      <c r="H221" s="73">
        <v>15152000</v>
      </c>
      <c r="I221" s="73">
        <v>17278000</v>
      </c>
      <c r="J221" s="73">
        <v>20255000</v>
      </c>
      <c r="K221" s="73">
        <v>23782000</v>
      </c>
      <c r="L221" s="73">
        <v>21168000</v>
      </c>
      <c r="M221" s="73">
        <v>22024000</v>
      </c>
      <c r="N221" s="73">
        <v>21611000</v>
      </c>
      <c r="O221" s="73">
        <v>20924000</v>
      </c>
      <c r="P221" s="73">
        <v>18944000</v>
      </c>
      <c r="Q221" s="73">
        <v>23710000</v>
      </c>
      <c r="R221" s="73">
        <v>22771000</v>
      </c>
      <c r="S221" s="73">
        <v>21283000</v>
      </c>
      <c r="T221" s="73">
        <v>23476000</v>
      </c>
      <c r="U221" s="73">
        <v>26933000</v>
      </c>
      <c r="V221" s="73">
        <v>20297521</v>
      </c>
      <c r="W221" s="73">
        <v>20786029</v>
      </c>
      <c r="X221" s="73">
        <v>18677798</v>
      </c>
      <c r="Y221" s="73">
        <v>19960528</v>
      </c>
      <c r="Z221" s="73">
        <v>20333131</v>
      </c>
      <c r="AA221" s="73">
        <v>23573756</v>
      </c>
      <c r="AB221" s="73">
        <v>29069842</v>
      </c>
      <c r="AC221" s="73">
        <v>29076776</v>
      </c>
      <c r="AD221" s="73">
        <v>30674313</v>
      </c>
      <c r="AE221" s="73">
        <v>36245201</v>
      </c>
      <c r="AF221" s="73">
        <v>37388315</v>
      </c>
      <c r="AG221" s="73">
        <v>41348142</v>
      </c>
      <c r="AH221" s="73">
        <v>44679893</v>
      </c>
      <c r="AI221" s="73">
        <v>65509202</v>
      </c>
      <c r="AJ221" s="73">
        <v>43017688</v>
      </c>
      <c r="AK221" s="73">
        <v>47454157</v>
      </c>
      <c r="AL221" s="73">
        <v>75487725</v>
      </c>
      <c r="AM221" s="73">
        <v>47626435</v>
      </c>
      <c r="AN221" s="73">
        <v>50253561</v>
      </c>
      <c r="AO221" s="73">
        <v>40278988</v>
      </c>
      <c r="AP221" s="73">
        <v>46541813</v>
      </c>
      <c r="AQ221" s="73">
        <v>49392875</v>
      </c>
      <c r="AR221" s="73">
        <v>61211442</v>
      </c>
      <c r="AS221" s="73">
        <v>54476967</v>
      </c>
      <c r="AT221" s="73">
        <v>52992923</v>
      </c>
      <c r="AU221" s="73">
        <v>38500415</v>
      </c>
      <c r="AV221">
        <v>34933012</v>
      </c>
      <c r="AW221">
        <v>44377709</v>
      </c>
      <c r="AX221">
        <v>57542753</v>
      </c>
    </row>
    <row r="222" spans="1:50" ht="14.5" x14ac:dyDescent="0.35">
      <c r="A222" s="72" t="s">
        <v>431</v>
      </c>
      <c r="B222" s="72" t="str">
        <f>VLOOKUP(Tabelle_Abfrage_von_MS_Access_Database3[[#This Row],[LAND]],Texte!$A$4:$C$261,Texte!$A$1+1,FALSE)</f>
        <v>Salomonen</v>
      </c>
      <c r="C222" s="72" t="s">
        <v>509</v>
      </c>
      <c r="D222" s="72" t="s">
        <v>557</v>
      </c>
      <c r="E222" s="73">
        <v>0</v>
      </c>
      <c r="F222" s="73">
        <v>13000</v>
      </c>
      <c r="G222" s="73">
        <v>12000</v>
      </c>
      <c r="H222" s="73">
        <v>0</v>
      </c>
      <c r="I222" s="73">
        <v>0</v>
      </c>
      <c r="J222" s="73">
        <v>9000</v>
      </c>
      <c r="K222" s="73">
        <v>5000</v>
      </c>
      <c r="L222" s="73">
        <v>2000</v>
      </c>
      <c r="M222" s="73">
        <v>0</v>
      </c>
      <c r="N222" s="73">
        <v>305000</v>
      </c>
      <c r="O222" s="73">
        <v>13000</v>
      </c>
      <c r="P222" s="73">
        <v>4000</v>
      </c>
      <c r="Q222" s="73">
        <v>3000</v>
      </c>
      <c r="R222" s="73">
        <v>94000</v>
      </c>
      <c r="S222" s="73">
        <v>18000</v>
      </c>
      <c r="T222" s="73">
        <v>0</v>
      </c>
      <c r="U222" s="73">
        <v>7000</v>
      </c>
      <c r="V222" s="73">
        <v>418086</v>
      </c>
      <c r="W222" s="73">
        <v>1381</v>
      </c>
      <c r="X222" s="73">
        <v>6032</v>
      </c>
      <c r="Y222" s="73">
        <v>2076920</v>
      </c>
      <c r="Z222" s="73">
        <v>601657</v>
      </c>
      <c r="AA222" s="73">
        <v>1414863</v>
      </c>
      <c r="AB222" s="73">
        <v>1914631</v>
      </c>
      <c r="AC222" s="73">
        <v>639618</v>
      </c>
      <c r="AD222" s="73">
        <v>231619</v>
      </c>
      <c r="AE222" s="73">
        <v>10191</v>
      </c>
      <c r="AF222" s="73">
        <v>44</v>
      </c>
      <c r="AG222" s="73">
        <v>23848</v>
      </c>
      <c r="AH222" s="73">
        <v>3488</v>
      </c>
      <c r="AI222" s="73">
        <v>1584</v>
      </c>
      <c r="AJ222" s="73">
        <v>14226</v>
      </c>
      <c r="AK222" s="73">
        <v>712</v>
      </c>
      <c r="AL222" s="73">
        <v>0</v>
      </c>
      <c r="AM222" s="73">
        <v>0</v>
      </c>
      <c r="AN222" s="73">
        <v>0</v>
      </c>
      <c r="AO222" s="73">
        <v>1685</v>
      </c>
      <c r="AP222" s="73">
        <v>7044</v>
      </c>
      <c r="AQ222" s="73">
        <v>0</v>
      </c>
      <c r="AR222" s="73">
        <v>9630</v>
      </c>
      <c r="AS222" s="73">
        <v>9708</v>
      </c>
      <c r="AT222" s="73">
        <v>14025</v>
      </c>
      <c r="AU222" s="73">
        <v>40561</v>
      </c>
      <c r="AV222">
        <v>15104</v>
      </c>
      <c r="AW222">
        <v>98571</v>
      </c>
      <c r="AX222">
        <v>12657</v>
      </c>
    </row>
    <row r="223" spans="1:50" ht="14.5" x14ac:dyDescent="0.35">
      <c r="A223" s="72" t="s">
        <v>433</v>
      </c>
      <c r="B223" s="72" t="str">
        <f>VLOOKUP(Tabelle_Abfrage_von_MS_Access_Database3[[#This Row],[LAND]],Texte!$A$4:$C$261,Texte!$A$1+1,FALSE)</f>
        <v>Tuvalu</v>
      </c>
      <c r="C223" s="72" t="s">
        <v>519</v>
      </c>
      <c r="D223" s="72" t="s">
        <v>557</v>
      </c>
      <c r="E223" s="73">
        <v>0</v>
      </c>
      <c r="F223" s="73">
        <v>0</v>
      </c>
      <c r="G223" s="73">
        <v>0</v>
      </c>
      <c r="H223" s="73">
        <v>0</v>
      </c>
      <c r="I223" s="73">
        <v>0</v>
      </c>
      <c r="J223" s="73">
        <v>0</v>
      </c>
      <c r="K223" s="73">
        <v>0</v>
      </c>
      <c r="L223" s="73">
        <v>0</v>
      </c>
      <c r="M223" s="73">
        <v>0</v>
      </c>
      <c r="N223" s="73">
        <v>0</v>
      </c>
      <c r="O223" s="73">
        <v>0</v>
      </c>
      <c r="P223" s="73">
        <v>1000</v>
      </c>
      <c r="Q223" s="73">
        <v>2000</v>
      </c>
      <c r="R223" s="73">
        <v>4000</v>
      </c>
      <c r="S223" s="73">
        <v>3000</v>
      </c>
      <c r="T223" s="73">
        <v>5000</v>
      </c>
      <c r="U223" s="73">
        <v>1000</v>
      </c>
      <c r="V223" s="73">
        <v>364</v>
      </c>
      <c r="W223" s="73">
        <v>2253</v>
      </c>
      <c r="X223" s="73">
        <v>654</v>
      </c>
      <c r="Y223" s="73">
        <v>14752</v>
      </c>
      <c r="Z223" s="73">
        <v>3634</v>
      </c>
      <c r="AA223" s="73">
        <v>5159</v>
      </c>
      <c r="AB223" s="73">
        <v>2320</v>
      </c>
      <c r="AC223" s="73">
        <v>1246</v>
      </c>
      <c r="AD223" s="73">
        <v>39426</v>
      </c>
      <c r="AE223" s="73">
        <v>2324</v>
      </c>
      <c r="AF223" s="74"/>
      <c r="AG223" s="73">
        <v>0</v>
      </c>
      <c r="AH223" s="73">
        <v>2975</v>
      </c>
      <c r="AI223" s="73">
        <v>56</v>
      </c>
      <c r="AJ223" s="74"/>
      <c r="AK223" s="73">
        <v>169</v>
      </c>
      <c r="AL223" s="74"/>
      <c r="AM223" s="74"/>
      <c r="AN223" s="74"/>
      <c r="AO223" s="74"/>
      <c r="AP223" s="73">
        <v>17</v>
      </c>
      <c r="AQ223" s="73">
        <v>34</v>
      </c>
      <c r="AR223" s="73">
        <v>4232</v>
      </c>
      <c r="AS223" s="73">
        <v>3277</v>
      </c>
      <c r="AT223" s="73">
        <v>26399</v>
      </c>
      <c r="AU223" s="73">
        <v>5989</v>
      </c>
      <c r="AV223">
        <v>21672</v>
      </c>
      <c r="AW223">
        <v>192</v>
      </c>
      <c r="AX223">
        <v>40912</v>
      </c>
    </row>
    <row r="224" spans="1:50" ht="14.5" x14ac:dyDescent="0.35">
      <c r="A224" s="72" t="s">
        <v>435</v>
      </c>
      <c r="B224" s="72" t="str">
        <f>VLOOKUP(Tabelle_Abfrage_von_MS_Access_Database3[[#This Row],[LAND]],Texte!$A$4:$C$261,Texte!$A$1+1,FALSE)</f>
        <v>Neukaledonien</v>
      </c>
      <c r="C224" s="72" t="s">
        <v>525</v>
      </c>
      <c r="D224" s="72" t="s">
        <v>557</v>
      </c>
      <c r="E224" s="73">
        <v>0</v>
      </c>
      <c r="F224" s="73">
        <v>0</v>
      </c>
      <c r="G224" s="73">
        <v>0</v>
      </c>
      <c r="H224" s="73">
        <v>0</v>
      </c>
      <c r="I224" s="73">
        <v>0</v>
      </c>
      <c r="J224" s="73">
        <v>0</v>
      </c>
      <c r="K224" s="73">
        <v>0</v>
      </c>
      <c r="L224" s="73">
        <v>0</v>
      </c>
      <c r="M224" s="73">
        <v>0</v>
      </c>
      <c r="N224" s="73">
        <v>0</v>
      </c>
      <c r="O224" s="73">
        <v>0</v>
      </c>
      <c r="P224" s="73">
        <v>0</v>
      </c>
      <c r="Q224" s="73">
        <v>0</v>
      </c>
      <c r="R224" s="73">
        <v>0</v>
      </c>
      <c r="S224" s="73">
        <v>0</v>
      </c>
      <c r="T224" s="73">
        <v>0</v>
      </c>
      <c r="U224" s="73">
        <v>0</v>
      </c>
      <c r="V224" s="73">
        <v>85100</v>
      </c>
      <c r="W224" s="73">
        <v>68387</v>
      </c>
      <c r="X224" s="73">
        <v>113660</v>
      </c>
      <c r="Y224" s="73">
        <v>162858</v>
      </c>
      <c r="Z224" s="73">
        <v>136480</v>
      </c>
      <c r="AA224" s="73">
        <v>9084</v>
      </c>
      <c r="AB224" s="73">
        <v>18639</v>
      </c>
      <c r="AC224" s="73">
        <v>57517</v>
      </c>
      <c r="AD224" s="73">
        <v>61736</v>
      </c>
      <c r="AE224" s="73">
        <v>51887</v>
      </c>
      <c r="AF224" s="73">
        <v>21660</v>
      </c>
      <c r="AG224" s="73">
        <v>39934</v>
      </c>
      <c r="AH224" s="73">
        <v>76414</v>
      </c>
      <c r="AI224" s="73">
        <v>56610</v>
      </c>
      <c r="AJ224" s="73">
        <v>77943</v>
      </c>
      <c r="AK224" s="73">
        <v>23568</v>
      </c>
      <c r="AL224" s="73">
        <v>112654</v>
      </c>
      <c r="AM224" s="73">
        <v>453260</v>
      </c>
      <c r="AN224" s="73">
        <v>193852</v>
      </c>
      <c r="AO224" s="73">
        <v>18268</v>
      </c>
      <c r="AP224" s="73">
        <v>12050</v>
      </c>
      <c r="AQ224" s="73">
        <v>6567</v>
      </c>
      <c r="AR224" s="73">
        <v>37995</v>
      </c>
      <c r="AS224" s="73">
        <v>53925</v>
      </c>
      <c r="AT224" s="73">
        <v>38708</v>
      </c>
      <c r="AU224" s="73">
        <v>106319</v>
      </c>
      <c r="AV224">
        <v>133182</v>
      </c>
      <c r="AW224">
        <v>2225956</v>
      </c>
      <c r="AX224">
        <v>3141306</v>
      </c>
    </row>
    <row r="225" spans="1:50" ht="14.5" x14ac:dyDescent="0.35">
      <c r="A225" s="72" t="s">
        <v>437</v>
      </c>
      <c r="B225" s="72" t="str">
        <f>VLOOKUP(Tabelle_Abfrage_von_MS_Access_Database3[[#This Row],[LAND]],Texte!$A$4:$C$261,Texte!$A$1+1,FALSE)</f>
        <v>Amerik.-Ozeanien</v>
      </c>
      <c r="C225" s="72" t="s">
        <v>508</v>
      </c>
      <c r="D225" s="72" t="s">
        <v>530</v>
      </c>
      <c r="E225" s="73">
        <v>111000</v>
      </c>
      <c r="F225" s="73">
        <v>36000</v>
      </c>
      <c r="G225" s="73">
        <v>7000</v>
      </c>
      <c r="H225" s="73">
        <v>32000</v>
      </c>
      <c r="I225" s="73">
        <v>23000</v>
      </c>
      <c r="J225" s="73">
        <v>42000</v>
      </c>
      <c r="K225" s="73">
        <v>113000</v>
      </c>
      <c r="L225" s="73">
        <v>103000</v>
      </c>
      <c r="M225" s="73">
        <v>107000</v>
      </c>
      <c r="N225" s="73">
        <v>28000</v>
      </c>
      <c r="O225" s="73">
        <v>152000</v>
      </c>
      <c r="P225" s="73">
        <v>66000</v>
      </c>
      <c r="Q225" s="73">
        <v>219000</v>
      </c>
      <c r="R225" s="73">
        <v>112000</v>
      </c>
      <c r="S225" s="73">
        <v>188000</v>
      </c>
      <c r="T225" s="73">
        <v>27000</v>
      </c>
      <c r="U225" s="73">
        <v>28000</v>
      </c>
      <c r="V225" s="73">
        <v>161483</v>
      </c>
      <c r="W225" s="73">
        <v>262203</v>
      </c>
      <c r="X225" s="73">
        <v>291782</v>
      </c>
      <c r="Y225" s="73">
        <v>952960</v>
      </c>
      <c r="Z225" s="73">
        <v>4723</v>
      </c>
      <c r="AA225" s="73">
        <v>17804</v>
      </c>
      <c r="AB225" s="74"/>
      <c r="AC225" s="74"/>
      <c r="AD225" s="74"/>
      <c r="AE225" s="74"/>
      <c r="AF225" s="74"/>
      <c r="AG225" s="74"/>
      <c r="AH225" s="74"/>
      <c r="AI225" s="74"/>
      <c r="AJ225" s="74"/>
      <c r="AK225" s="74"/>
      <c r="AL225" s="74"/>
      <c r="AM225" s="74"/>
      <c r="AN225" s="74"/>
      <c r="AO225" s="74"/>
      <c r="AP225" s="74"/>
      <c r="AQ225" s="74"/>
      <c r="AR225" s="74"/>
      <c r="AS225" s="74"/>
      <c r="AT225" s="74"/>
      <c r="AU225" s="74"/>
    </row>
    <row r="226" spans="1:50" ht="14.5" x14ac:dyDescent="0.35">
      <c r="A226" s="72" t="s">
        <v>439</v>
      </c>
      <c r="B226" s="72" t="str">
        <f>VLOOKUP(Tabelle_Abfrage_von_MS_Access_Database3[[#This Row],[LAND]],Texte!$A$4:$C$261,Texte!$A$1+1,FALSE)</f>
        <v>Wallis und Futuna</v>
      </c>
      <c r="C226" s="72" t="s">
        <v>525</v>
      </c>
      <c r="D226" s="72" t="s">
        <v>557</v>
      </c>
      <c r="E226" s="73">
        <v>0</v>
      </c>
      <c r="F226" s="73">
        <v>0</v>
      </c>
      <c r="G226" s="73">
        <v>0</v>
      </c>
      <c r="H226" s="73">
        <v>0</v>
      </c>
      <c r="I226" s="73">
        <v>0</v>
      </c>
      <c r="J226" s="73">
        <v>0</v>
      </c>
      <c r="K226" s="73">
        <v>0</v>
      </c>
      <c r="L226" s="73">
        <v>0</v>
      </c>
      <c r="M226" s="73">
        <v>0</v>
      </c>
      <c r="N226" s="73">
        <v>0</v>
      </c>
      <c r="O226" s="73">
        <v>0</v>
      </c>
      <c r="P226" s="73">
        <v>0</v>
      </c>
      <c r="Q226" s="73">
        <v>0</v>
      </c>
      <c r="R226" s="73">
        <v>0</v>
      </c>
      <c r="S226" s="73">
        <v>0</v>
      </c>
      <c r="T226" s="73">
        <v>0</v>
      </c>
      <c r="U226" s="73">
        <v>0</v>
      </c>
      <c r="V226" s="73">
        <v>3707</v>
      </c>
      <c r="W226" s="73">
        <v>13153</v>
      </c>
      <c r="X226" s="73">
        <v>12427</v>
      </c>
      <c r="Y226" s="73">
        <v>32920</v>
      </c>
      <c r="Z226" s="73">
        <v>799</v>
      </c>
      <c r="AA226" s="73">
        <v>15988</v>
      </c>
      <c r="AB226" s="73">
        <v>179707</v>
      </c>
      <c r="AC226" s="73">
        <v>2258</v>
      </c>
      <c r="AD226" s="73">
        <v>29</v>
      </c>
      <c r="AE226" s="74"/>
      <c r="AF226" s="74"/>
      <c r="AG226" s="73">
        <v>31</v>
      </c>
      <c r="AH226" s="73">
        <v>139</v>
      </c>
      <c r="AI226" s="73">
        <v>605</v>
      </c>
      <c r="AJ226" s="74"/>
      <c r="AK226" s="74"/>
      <c r="AL226" s="74"/>
      <c r="AM226" s="74"/>
      <c r="AN226" s="74"/>
      <c r="AO226" s="74"/>
      <c r="AP226" s="74"/>
      <c r="AQ226" s="74"/>
      <c r="AR226" s="73">
        <v>0</v>
      </c>
      <c r="AS226" s="74"/>
      <c r="AT226" s="74"/>
      <c r="AU226" s="74"/>
      <c r="AV226">
        <v>13688</v>
      </c>
      <c r="AW226">
        <v>91481</v>
      </c>
      <c r="AX226">
        <v>49</v>
      </c>
    </row>
    <row r="227" spans="1:50" ht="14.5" x14ac:dyDescent="0.35">
      <c r="A227" s="72" t="s">
        <v>441</v>
      </c>
      <c r="B227" s="72" t="str">
        <f>VLOOKUP(Tabelle_Abfrage_von_MS_Access_Database3[[#This Row],[LAND]],Texte!$A$4:$C$261,Texte!$A$1+1,FALSE)</f>
        <v>Kiribati</v>
      </c>
      <c r="C227" s="72" t="s">
        <v>512</v>
      </c>
      <c r="D227" s="72" t="s">
        <v>557</v>
      </c>
      <c r="E227" s="73">
        <v>0</v>
      </c>
      <c r="F227" s="73">
        <v>0</v>
      </c>
      <c r="G227" s="73">
        <v>0</v>
      </c>
      <c r="H227" s="73">
        <v>0</v>
      </c>
      <c r="I227" s="73">
        <v>1000</v>
      </c>
      <c r="J227" s="73">
        <v>0</v>
      </c>
      <c r="K227" s="73">
        <v>0</v>
      </c>
      <c r="L227" s="73">
        <v>0</v>
      </c>
      <c r="M227" s="73">
        <v>0</v>
      </c>
      <c r="N227" s="73">
        <v>0</v>
      </c>
      <c r="O227" s="73">
        <v>2000</v>
      </c>
      <c r="P227" s="73">
        <v>1000</v>
      </c>
      <c r="Q227" s="73">
        <v>16000</v>
      </c>
      <c r="R227" s="73">
        <v>0</v>
      </c>
      <c r="S227" s="73">
        <v>2000</v>
      </c>
      <c r="T227" s="73">
        <v>0</v>
      </c>
      <c r="U227" s="73">
        <v>0</v>
      </c>
      <c r="V227" s="73">
        <v>9302</v>
      </c>
      <c r="W227" s="73">
        <v>15771</v>
      </c>
      <c r="X227" s="73">
        <v>363</v>
      </c>
      <c r="Y227" s="73">
        <v>436</v>
      </c>
      <c r="Z227" s="73">
        <v>2544</v>
      </c>
      <c r="AA227" s="73">
        <v>58501</v>
      </c>
      <c r="AB227" s="73">
        <v>166684</v>
      </c>
      <c r="AC227" s="73">
        <v>32795</v>
      </c>
      <c r="AD227" s="73">
        <v>26196</v>
      </c>
      <c r="AE227" s="73">
        <v>3182</v>
      </c>
      <c r="AF227" s="73">
        <v>3399</v>
      </c>
      <c r="AG227" s="73">
        <v>2215</v>
      </c>
      <c r="AH227" s="73">
        <v>8231</v>
      </c>
      <c r="AI227" s="73">
        <v>9787</v>
      </c>
      <c r="AJ227" s="74"/>
      <c r="AK227" s="74"/>
      <c r="AL227" s="73">
        <v>525</v>
      </c>
      <c r="AM227" s="73">
        <v>8</v>
      </c>
      <c r="AN227" s="73">
        <v>0</v>
      </c>
      <c r="AO227" s="73">
        <v>195</v>
      </c>
      <c r="AP227" s="73">
        <v>0</v>
      </c>
      <c r="AQ227" s="73">
        <v>0</v>
      </c>
      <c r="AR227" s="73">
        <v>277</v>
      </c>
      <c r="AS227" s="73">
        <v>0</v>
      </c>
      <c r="AT227" s="73">
        <v>8629</v>
      </c>
      <c r="AU227" s="73">
        <v>0</v>
      </c>
      <c r="AV227">
        <v>0</v>
      </c>
      <c r="AW227">
        <v>924</v>
      </c>
      <c r="AX227">
        <v>1519</v>
      </c>
    </row>
    <row r="228" spans="1:50" ht="14.5" x14ac:dyDescent="0.35">
      <c r="A228" s="72" t="s">
        <v>443</v>
      </c>
      <c r="B228" s="72" t="str">
        <f>VLOOKUP(Tabelle_Abfrage_von_MS_Access_Database3[[#This Row],[LAND]],Texte!$A$4:$C$261,Texte!$A$1+1,FALSE)</f>
        <v>Pitcairn</v>
      </c>
      <c r="C228" s="72" t="s">
        <v>525</v>
      </c>
      <c r="D228" s="72" t="s">
        <v>557</v>
      </c>
      <c r="E228" s="73">
        <v>0</v>
      </c>
      <c r="F228" s="73">
        <v>0</v>
      </c>
      <c r="G228" s="73">
        <v>0</v>
      </c>
      <c r="H228" s="73">
        <v>0</v>
      </c>
      <c r="I228" s="73">
        <v>0</v>
      </c>
      <c r="J228" s="73">
        <v>0</v>
      </c>
      <c r="K228" s="73">
        <v>0</v>
      </c>
      <c r="L228" s="73">
        <v>0</v>
      </c>
      <c r="M228" s="73">
        <v>0</v>
      </c>
      <c r="N228" s="73">
        <v>0</v>
      </c>
      <c r="O228" s="73">
        <v>0</v>
      </c>
      <c r="P228" s="73">
        <v>0</v>
      </c>
      <c r="Q228" s="73">
        <v>0</v>
      </c>
      <c r="R228" s="73">
        <v>0</v>
      </c>
      <c r="S228" s="73">
        <v>0</v>
      </c>
      <c r="T228" s="73">
        <v>0</v>
      </c>
      <c r="U228" s="73">
        <v>0</v>
      </c>
      <c r="V228" s="73">
        <v>5014</v>
      </c>
      <c r="W228" s="73">
        <v>145</v>
      </c>
      <c r="X228" s="73">
        <v>170491</v>
      </c>
      <c r="Y228" s="73">
        <v>453551</v>
      </c>
      <c r="Z228" s="73">
        <v>990095</v>
      </c>
      <c r="AA228" s="73">
        <v>1830845</v>
      </c>
      <c r="AB228" s="73">
        <v>7042</v>
      </c>
      <c r="AC228" s="73">
        <v>1610</v>
      </c>
      <c r="AD228" s="73">
        <v>83595</v>
      </c>
      <c r="AE228" s="73">
        <v>499</v>
      </c>
      <c r="AF228" s="73">
        <v>1167</v>
      </c>
      <c r="AG228" s="73">
        <v>43</v>
      </c>
      <c r="AH228" s="73">
        <v>6043</v>
      </c>
      <c r="AI228" s="73">
        <v>159294</v>
      </c>
      <c r="AJ228" s="73">
        <v>144871</v>
      </c>
      <c r="AK228" s="73">
        <v>55598</v>
      </c>
      <c r="AL228" s="73">
        <v>7310</v>
      </c>
      <c r="AM228" s="73">
        <v>29790</v>
      </c>
      <c r="AN228" s="74"/>
      <c r="AO228" s="74"/>
      <c r="AP228" s="74"/>
      <c r="AQ228" s="74"/>
      <c r="AR228" s="74"/>
      <c r="AS228" s="74"/>
      <c r="AT228" s="74"/>
      <c r="AU228" s="74"/>
      <c r="AX228">
        <v>40</v>
      </c>
    </row>
    <row r="229" spans="1:50" ht="14.5" x14ac:dyDescent="0.35">
      <c r="A229" s="72" t="s">
        <v>445</v>
      </c>
      <c r="B229" s="72" t="str">
        <f>VLOOKUP(Tabelle_Abfrage_von_MS_Access_Database3[[#This Row],[LAND]],Texte!$A$4:$C$261,Texte!$A$1+1,FALSE)</f>
        <v>Neuseeld.Ozeanien</v>
      </c>
      <c r="C229" s="72" t="s">
        <v>513</v>
      </c>
      <c r="D229" s="72" t="s">
        <v>531</v>
      </c>
      <c r="E229" s="73">
        <v>0</v>
      </c>
      <c r="F229" s="73">
        <v>0</v>
      </c>
      <c r="G229" s="73">
        <v>0</v>
      </c>
      <c r="H229" s="73">
        <v>0</v>
      </c>
      <c r="I229" s="73">
        <v>0</v>
      </c>
      <c r="J229" s="73">
        <v>0</v>
      </c>
      <c r="K229" s="73">
        <v>0</v>
      </c>
      <c r="L229" s="73">
        <v>0</v>
      </c>
      <c r="M229" s="73">
        <v>0</v>
      </c>
      <c r="N229" s="73">
        <v>0</v>
      </c>
      <c r="O229" s="73">
        <v>552000</v>
      </c>
      <c r="P229" s="73">
        <v>379000</v>
      </c>
      <c r="Q229" s="73">
        <v>221000</v>
      </c>
      <c r="R229" s="73">
        <v>157000</v>
      </c>
      <c r="S229" s="73">
        <v>98000</v>
      </c>
      <c r="T229" s="73">
        <v>116000</v>
      </c>
      <c r="U229" s="73">
        <v>15000</v>
      </c>
      <c r="V229" s="73">
        <v>338358</v>
      </c>
      <c r="W229" s="73">
        <v>301588</v>
      </c>
      <c r="X229" s="73">
        <v>290769</v>
      </c>
      <c r="Y229" s="73">
        <v>449622</v>
      </c>
      <c r="Z229" s="73">
        <v>162206</v>
      </c>
      <c r="AA229" s="73">
        <v>3634</v>
      </c>
      <c r="AB229" s="74"/>
      <c r="AC229" s="74"/>
      <c r="AD229" s="74"/>
      <c r="AE229" s="74"/>
      <c r="AF229" s="74"/>
      <c r="AG229" s="74"/>
      <c r="AH229" s="74"/>
      <c r="AI229" s="74"/>
      <c r="AJ229" s="74"/>
      <c r="AK229" s="74"/>
      <c r="AL229" s="74"/>
      <c r="AM229" s="74"/>
      <c r="AN229" s="74"/>
      <c r="AO229" s="74"/>
      <c r="AP229" s="74"/>
      <c r="AQ229" s="74"/>
      <c r="AR229" s="74"/>
      <c r="AS229" s="74"/>
      <c r="AT229" s="74"/>
      <c r="AU229" s="74"/>
    </row>
    <row r="230" spans="1:50" ht="14.5" x14ac:dyDescent="0.35">
      <c r="A230" s="72" t="s">
        <v>447</v>
      </c>
      <c r="B230" s="72" t="str">
        <f>VLOOKUP(Tabelle_Abfrage_von_MS_Access_Database3[[#This Row],[LAND]],Texte!$A$4:$C$261,Texte!$A$1+1,FALSE)</f>
        <v>Fidschi</v>
      </c>
      <c r="C230" s="72" t="s">
        <v>510</v>
      </c>
      <c r="D230" s="72" t="s">
        <v>557</v>
      </c>
      <c r="E230" s="73">
        <v>0</v>
      </c>
      <c r="F230" s="73">
        <v>0</v>
      </c>
      <c r="G230" s="73">
        <v>0</v>
      </c>
      <c r="H230" s="73">
        <v>0</v>
      </c>
      <c r="I230" s="73">
        <v>0</v>
      </c>
      <c r="J230" s="73">
        <v>2000</v>
      </c>
      <c r="K230" s="73">
        <v>0</v>
      </c>
      <c r="L230" s="73">
        <v>1000</v>
      </c>
      <c r="M230" s="73">
        <v>4000</v>
      </c>
      <c r="N230" s="73">
        <v>4000</v>
      </c>
      <c r="O230" s="73">
        <v>25000</v>
      </c>
      <c r="P230" s="73">
        <v>5000</v>
      </c>
      <c r="Q230" s="73">
        <v>3000</v>
      </c>
      <c r="R230" s="73">
        <v>8000</v>
      </c>
      <c r="S230" s="73">
        <v>4000</v>
      </c>
      <c r="T230" s="73">
        <v>28000</v>
      </c>
      <c r="U230" s="73">
        <v>104000</v>
      </c>
      <c r="V230" s="73">
        <v>84445</v>
      </c>
      <c r="W230" s="73">
        <v>15770</v>
      </c>
      <c r="X230" s="73">
        <v>19404</v>
      </c>
      <c r="Y230" s="73">
        <v>194691</v>
      </c>
      <c r="Z230" s="73">
        <v>552460</v>
      </c>
      <c r="AA230" s="73">
        <v>1994649</v>
      </c>
      <c r="AB230" s="73">
        <v>508382</v>
      </c>
      <c r="AC230" s="73">
        <v>110088</v>
      </c>
      <c r="AD230" s="73">
        <v>61567</v>
      </c>
      <c r="AE230" s="73">
        <v>48799</v>
      </c>
      <c r="AF230" s="73">
        <v>146844</v>
      </c>
      <c r="AG230" s="73">
        <v>274367</v>
      </c>
      <c r="AH230" s="73">
        <v>257475</v>
      </c>
      <c r="AI230" s="73">
        <v>269630</v>
      </c>
      <c r="AJ230" s="73">
        <v>598936</v>
      </c>
      <c r="AK230" s="73">
        <v>588786</v>
      </c>
      <c r="AL230" s="73">
        <v>228119</v>
      </c>
      <c r="AM230" s="73">
        <v>94017</v>
      </c>
      <c r="AN230" s="73">
        <v>91682</v>
      </c>
      <c r="AO230" s="73">
        <v>142499</v>
      </c>
      <c r="AP230" s="73">
        <v>173524</v>
      </c>
      <c r="AQ230" s="73">
        <v>23199</v>
      </c>
      <c r="AR230" s="73">
        <v>90463</v>
      </c>
      <c r="AS230" s="73">
        <v>135553</v>
      </c>
      <c r="AT230" s="73">
        <v>42941</v>
      </c>
      <c r="AU230" s="73">
        <v>66022</v>
      </c>
      <c r="AV230">
        <v>83447</v>
      </c>
      <c r="AW230">
        <v>67097</v>
      </c>
      <c r="AX230">
        <v>157730</v>
      </c>
    </row>
    <row r="231" spans="1:50" ht="14.5" x14ac:dyDescent="0.35">
      <c r="A231" s="72" t="s">
        <v>449</v>
      </c>
      <c r="B231" s="72" t="str">
        <f>VLOOKUP(Tabelle_Abfrage_von_MS_Access_Database3[[#This Row],[LAND]],Texte!$A$4:$C$261,Texte!$A$1+1,FALSE)</f>
        <v>Vanuatu</v>
      </c>
      <c r="C231" s="72" t="s">
        <v>508</v>
      </c>
      <c r="D231" s="72" t="s">
        <v>557</v>
      </c>
      <c r="E231" s="73">
        <v>0</v>
      </c>
      <c r="F231" s="73">
        <v>0</v>
      </c>
      <c r="G231" s="73">
        <v>3000</v>
      </c>
      <c r="H231" s="73">
        <v>0</v>
      </c>
      <c r="I231" s="73">
        <v>0</v>
      </c>
      <c r="J231" s="73">
        <v>85000</v>
      </c>
      <c r="K231" s="73">
        <v>0</v>
      </c>
      <c r="L231" s="73">
        <v>0</v>
      </c>
      <c r="M231" s="73">
        <v>54000</v>
      </c>
      <c r="N231" s="73">
        <v>0</v>
      </c>
      <c r="O231" s="73">
        <v>1000</v>
      </c>
      <c r="P231" s="73">
        <v>0</v>
      </c>
      <c r="Q231" s="73">
        <v>0</v>
      </c>
      <c r="R231" s="73">
        <v>0</v>
      </c>
      <c r="S231" s="73">
        <v>6000</v>
      </c>
      <c r="T231" s="73">
        <v>0</v>
      </c>
      <c r="U231" s="73">
        <v>0</v>
      </c>
      <c r="V231" s="73">
        <v>0</v>
      </c>
      <c r="W231" s="74"/>
      <c r="X231" s="73">
        <v>4288</v>
      </c>
      <c r="Y231" s="74"/>
      <c r="Z231" s="74"/>
      <c r="AA231" s="73">
        <v>9810</v>
      </c>
      <c r="AB231" s="73">
        <v>15933</v>
      </c>
      <c r="AC231" s="73">
        <v>1112</v>
      </c>
      <c r="AD231" s="73">
        <v>1303</v>
      </c>
      <c r="AE231" s="73">
        <v>12240</v>
      </c>
      <c r="AF231" s="73">
        <v>2180</v>
      </c>
      <c r="AG231" s="73">
        <v>16138</v>
      </c>
      <c r="AH231" s="73">
        <v>23375</v>
      </c>
      <c r="AI231" s="73">
        <v>55</v>
      </c>
      <c r="AJ231" s="73">
        <v>3189</v>
      </c>
      <c r="AK231" s="73">
        <v>0</v>
      </c>
      <c r="AL231" s="73">
        <v>0</v>
      </c>
      <c r="AM231" s="74"/>
      <c r="AN231" s="73">
        <v>0</v>
      </c>
      <c r="AO231" s="73">
        <v>150</v>
      </c>
      <c r="AP231" s="73">
        <v>3966</v>
      </c>
      <c r="AQ231" s="73">
        <v>370</v>
      </c>
      <c r="AR231" s="73">
        <v>0</v>
      </c>
      <c r="AS231" s="73">
        <v>0</v>
      </c>
      <c r="AT231" s="73">
        <v>35</v>
      </c>
      <c r="AU231" s="73">
        <v>33760</v>
      </c>
      <c r="AV231">
        <v>74864</v>
      </c>
      <c r="AW231">
        <v>364</v>
      </c>
      <c r="AX231">
        <v>2141</v>
      </c>
    </row>
    <row r="232" spans="1:50" ht="14.5" x14ac:dyDescent="0.35">
      <c r="A232" s="72" t="s">
        <v>451</v>
      </c>
      <c r="B232" s="72" t="str">
        <f>VLOOKUP(Tabelle_Abfrage_von_MS_Access_Database3[[#This Row],[LAND]],Texte!$A$4:$C$261,Texte!$A$1+1,FALSE)</f>
        <v>Tonga</v>
      </c>
      <c r="C232" s="72" t="s">
        <v>511</v>
      </c>
      <c r="D232" s="72" t="s">
        <v>557</v>
      </c>
      <c r="E232" s="73">
        <v>0</v>
      </c>
      <c r="F232" s="73">
        <v>0</v>
      </c>
      <c r="G232" s="73">
        <v>0</v>
      </c>
      <c r="H232" s="73">
        <v>0</v>
      </c>
      <c r="I232" s="73">
        <v>1000</v>
      </c>
      <c r="J232" s="73">
        <v>0</v>
      </c>
      <c r="K232" s="73">
        <v>0</v>
      </c>
      <c r="L232" s="73">
        <v>0</v>
      </c>
      <c r="M232" s="73">
        <v>0</v>
      </c>
      <c r="N232" s="73">
        <v>0</v>
      </c>
      <c r="O232" s="73">
        <v>13000</v>
      </c>
      <c r="P232" s="73">
        <v>38000</v>
      </c>
      <c r="Q232" s="73">
        <v>17000</v>
      </c>
      <c r="R232" s="73">
        <v>0</v>
      </c>
      <c r="S232" s="73">
        <v>19000</v>
      </c>
      <c r="T232" s="73">
        <v>0</v>
      </c>
      <c r="U232" s="73">
        <v>23000</v>
      </c>
      <c r="V232" s="73">
        <v>364</v>
      </c>
      <c r="W232" s="73">
        <v>73</v>
      </c>
      <c r="X232" s="74"/>
      <c r="Y232" s="73">
        <v>132482</v>
      </c>
      <c r="Z232" s="73">
        <v>145</v>
      </c>
      <c r="AA232" s="73">
        <v>10101</v>
      </c>
      <c r="AB232" s="73">
        <v>20012</v>
      </c>
      <c r="AC232" s="73">
        <v>308726</v>
      </c>
      <c r="AD232" s="73">
        <v>119259</v>
      </c>
      <c r="AE232" s="73">
        <v>11272</v>
      </c>
      <c r="AF232" s="74"/>
      <c r="AG232" s="73">
        <v>8117</v>
      </c>
      <c r="AH232" s="73">
        <v>36</v>
      </c>
      <c r="AI232" s="74"/>
      <c r="AJ232" s="73">
        <v>38</v>
      </c>
      <c r="AK232" s="73">
        <v>253</v>
      </c>
      <c r="AL232" s="73">
        <v>2399</v>
      </c>
      <c r="AM232" s="73">
        <v>390</v>
      </c>
      <c r="AN232" s="73">
        <v>0</v>
      </c>
      <c r="AO232" s="73">
        <v>0</v>
      </c>
      <c r="AP232" s="73">
        <v>4755</v>
      </c>
      <c r="AQ232" s="73">
        <v>11628</v>
      </c>
      <c r="AR232" s="73">
        <v>338</v>
      </c>
      <c r="AS232" s="74"/>
      <c r="AT232" s="73">
        <v>0</v>
      </c>
      <c r="AU232" s="74"/>
      <c r="AV232">
        <v>274</v>
      </c>
      <c r="AW232">
        <v>0</v>
      </c>
      <c r="AX232">
        <v>350</v>
      </c>
    </row>
    <row r="233" spans="1:50" ht="14.5" x14ac:dyDescent="0.35">
      <c r="A233" s="72" t="s">
        <v>453</v>
      </c>
      <c r="B233" s="72" t="str">
        <f>VLOOKUP(Tabelle_Abfrage_von_MS_Access_Database3[[#This Row],[LAND]],Texte!$A$4:$C$261,Texte!$A$1+1,FALSE)</f>
        <v>Samoa</v>
      </c>
      <c r="C233" s="72" t="s">
        <v>508</v>
      </c>
      <c r="D233" s="72" t="s">
        <v>557</v>
      </c>
      <c r="E233" s="73">
        <v>1000</v>
      </c>
      <c r="F233" s="73">
        <v>4000</v>
      </c>
      <c r="G233" s="73">
        <v>13000</v>
      </c>
      <c r="H233" s="73">
        <v>0</v>
      </c>
      <c r="I233" s="73">
        <v>48000</v>
      </c>
      <c r="J233" s="73">
        <v>48000</v>
      </c>
      <c r="K233" s="73">
        <v>15000</v>
      </c>
      <c r="L233" s="73">
        <v>1000</v>
      </c>
      <c r="M233" s="73">
        <v>0</v>
      </c>
      <c r="N233" s="73">
        <v>0</v>
      </c>
      <c r="O233" s="73">
        <v>1000</v>
      </c>
      <c r="P233" s="73">
        <v>0</v>
      </c>
      <c r="Q233" s="73">
        <v>1000</v>
      </c>
      <c r="R233" s="73">
        <v>44000</v>
      </c>
      <c r="S233" s="73">
        <v>0</v>
      </c>
      <c r="T233" s="73">
        <v>0</v>
      </c>
      <c r="U233" s="73">
        <v>6000</v>
      </c>
      <c r="V233" s="73">
        <v>799</v>
      </c>
      <c r="W233" s="73">
        <v>2035</v>
      </c>
      <c r="X233" s="73">
        <v>4796</v>
      </c>
      <c r="Y233" s="73">
        <v>2180</v>
      </c>
      <c r="Z233" s="73">
        <v>157846</v>
      </c>
      <c r="AA233" s="73">
        <v>3125</v>
      </c>
      <c r="AB233" s="73">
        <v>155</v>
      </c>
      <c r="AC233" s="73">
        <v>7012</v>
      </c>
      <c r="AD233" s="73">
        <v>25682</v>
      </c>
      <c r="AE233" s="73">
        <v>532777</v>
      </c>
      <c r="AF233" s="73">
        <v>154</v>
      </c>
      <c r="AG233" s="73">
        <v>253</v>
      </c>
      <c r="AH233" s="73">
        <v>27011</v>
      </c>
      <c r="AI233" s="73">
        <v>370</v>
      </c>
      <c r="AJ233" s="73">
        <v>38195</v>
      </c>
      <c r="AK233" s="73">
        <v>11848</v>
      </c>
      <c r="AL233" s="73">
        <v>949</v>
      </c>
      <c r="AM233" s="73">
        <v>7</v>
      </c>
      <c r="AN233" s="73">
        <v>0</v>
      </c>
      <c r="AO233" s="73">
        <v>6609</v>
      </c>
      <c r="AP233" s="73">
        <v>2314</v>
      </c>
      <c r="AQ233" s="73">
        <v>741</v>
      </c>
      <c r="AR233" s="73">
        <v>45354</v>
      </c>
      <c r="AS233" s="73">
        <v>0</v>
      </c>
      <c r="AT233" s="73">
        <v>1010</v>
      </c>
      <c r="AU233" s="73">
        <v>2050</v>
      </c>
      <c r="AV233">
        <v>517</v>
      </c>
      <c r="AW233">
        <v>11963</v>
      </c>
      <c r="AX233">
        <v>7116</v>
      </c>
    </row>
    <row r="234" spans="1:50" ht="14.5" x14ac:dyDescent="0.35">
      <c r="A234" s="72" t="s">
        <v>455</v>
      </c>
      <c r="B234" s="72" t="str">
        <f>VLOOKUP(Tabelle_Abfrage_von_MS_Access_Database3[[#This Row],[LAND]],Texte!$A$4:$C$261,Texte!$A$1+1,FALSE)</f>
        <v>Nördliche Marianen</v>
      </c>
      <c r="C234" s="72" t="s">
        <v>525</v>
      </c>
      <c r="D234" s="72" t="s">
        <v>557</v>
      </c>
      <c r="E234" s="73">
        <v>0</v>
      </c>
      <c r="F234" s="73">
        <v>0</v>
      </c>
      <c r="G234" s="73">
        <v>0</v>
      </c>
      <c r="H234" s="73">
        <v>0</v>
      </c>
      <c r="I234" s="73">
        <v>0</v>
      </c>
      <c r="J234" s="73">
        <v>0</v>
      </c>
      <c r="K234" s="73">
        <v>0</v>
      </c>
      <c r="L234" s="73">
        <v>0</v>
      </c>
      <c r="M234" s="73">
        <v>0</v>
      </c>
      <c r="N234" s="73">
        <v>0</v>
      </c>
      <c r="O234" s="73">
        <v>0</v>
      </c>
      <c r="P234" s="73">
        <v>0</v>
      </c>
      <c r="Q234" s="73">
        <v>0</v>
      </c>
      <c r="R234" s="73">
        <v>0</v>
      </c>
      <c r="S234" s="73">
        <v>0</v>
      </c>
      <c r="T234" s="73">
        <v>0</v>
      </c>
      <c r="U234" s="73">
        <v>0</v>
      </c>
      <c r="V234" s="73">
        <v>7340</v>
      </c>
      <c r="W234" s="74"/>
      <c r="X234" s="73">
        <v>581</v>
      </c>
      <c r="Y234" s="73">
        <v>291</v>
      </c>
      <c r="Z234" s="73">
        <v>22092</v>
      </c>
      <c r="AA234" s="73">
        <v>35536</v>
      </c>
      <c r="AB234" s="73">
        <v>2083</v>
      </c>
      <c r="AC234" s="73">
        <v>2497</v>
      </c>
      <c r="AD234" s="73">
        <v>578</v>
      </c>
      <c r="AE234" s="73">
        <v>210073</v>
      </c>
      <c r="AF234" s="73">
        <v>586</v>
      </c>
      <c r="AG234" s="73">
        <v>1900</v>
      </c>
      <c r="AH234" s="73">
        <v>19761</v>
      </c>
      <c r="AI234" s="73">
        <v>17812</v>
      </c>
      <c r="AJ234" s="73">
        <v>3168</v>
      </c>
      <c r="AK234" s="73">
        <v>1694</v>
      </c>
      <c r="AL234" s="73">
        <v>421</v>
      </c>
      <c r="AM234" s="73">
        <v>0</v>
      </c>
      <c r="AN234" s="74"/>
      <c r="AO234" s="74"/>
      <c r="AP234" s="73">
        <v>2671</v>
      </c>
      <c r="AQ234" s="73">
        <v>0</v>
      </c>
      <c r="AR234" s="73">
        <v>2151</v>
      </c>
      <c r="AS234" s="74"/>
      <c r="AT234" s="74"/>
      <c r="AU234" s="73">
        <v>0</v>
      </c>
      <c r="AV234">
        <v>4479</v>
      </c>
      <c r="AW234">
        <v>21879</v>
      </c>
      <c r="AX234">
        <v>1619</v>
      </c>
    </row>
    <row r="235" spans="1:50" ht="14.5" x14ac:dyDescent="0.35">
      <c r="A235" s="72" t="s">
        <v>457</v>
      </c>
      <c r="B235" s="72" t="str">
        <f>VLOOKUP(Tabelle_Abfrage_von_MS_Access_Database3[[#This Row],[LAND]],Texte!$A$4:$C$261,Texte!$A$1+1,FALSE)</f>
        <v>Frz.Polynesien</v>
      </c>
      <c r="C235" s="72" t="s">
        <v>508</v>
      </c>
      <c r="D235" s="72" t="s">
        <v>557</v>
      </c>
      <c r="E235" s="73">
        <v>2923000</v>
      </c>
      <c r="F235" s="73">
        <v>4464000</v>
      </c>
      <c r="G235" s="73">
        <v>4503000</v>
      </c>
      <c r="H235" s="73">
        <v>4650000</v>
      </c>
      <c r="I235" s="73">
        <v>3011000</v>
      </c>
      <c r="J235" s="73">
        <v>4000</v>
      </c>
      <c r="K235" s="73">
        <v>104000</v>
      </c>
      <c r="L235" s="73">
        <v>1034000</v>
      </c>
      <c r="M235" s="73">
        <v>11000</v>
      </c>
      <c r="N235" s="73">
        <v>564000</v>
      </c>
      <c r="O235" s="73">
        <v>14000</v>
      </c>
      <c r="P235" s="73">
        <v>654000</v>
      </c>
      <c r="Q235" s="73">
        <v>252000</v>
      </c>
      <c r="R235" s="73">
        <v>7000</v>
      </c>
      <c r="S235" s="73">
        <v>52000</v>
      </c>
      <c r="T235" s="73">
        <v>11000</v>
      </c>
      <c r="U235" s="73">
        <v>91000</v>
      </c>
      <c r="V235" s="74"/>
      <c r="W235" s="74"/>
      <c r="X235" s="73">
        <v>436</v>
      </c>
      <c r="Y235" s="73">
        <v>239311</v>
      </c>
      <c r="Z235" s="73">
        <v>477606</v>
      </c>
      <c r="AA235" s="73">
        <v>324848</v>
      </c>
      <c r="AB235" s="73">
        <v>385775</v>
      </c>
      <c r="AC235" s="73">
        <v>287051</v>
      </c>
      <c r="AD235" s="73">
        <v>126540</v>
      </c>
      <c r="AE235" s="73">
        <v>203246</v>
      </c>
      <c r="AF235" s="73">
        <v>160437</v>
      </c>
      <c r="AG235" s="73">
        <v>200688</v>
      </c>
      <c r="AH235" s="73">
        <v>407279</v>
      </c>
      <c r="AI235" s="73">
        <v>754644</v>
      </c>
      <c r="AJ235" s="73">
        <v>248844</v>
      </c>
      <c r="AK235" s="73">
        <v>289597</v>
      </c>
      <c r="AL235" s="73">
        <v>206761</v>
      </c>
      <c r="AM235" s="73">
        <v>170276</v>
      </c>
      <c r="AN235" s="73">
        <v>188470</v>
      </c>
      <c r="AO235" s="73">
        <v>189385</v>
      </c>
      <c r="AP235" s="73">
        <v>149904</v>
      </c>
      <c r="AQ235" s="73">
        <v>137902</v>
      </c>
      <c r="AR235" s="73">
        <v>355277</v>
      </c>
      <c r="AS235" s="73">
        <v>132852</v>
      </c>
      <c r="AT235" s="73">
        <v>75891</v>
      </c>
      <c r="AU235" s="73">
        <v>71100</v>
      </c>
      <c r="AV235">
        <v>115947</v>
      </c>
      <c r="AW235">
        <v>185221</v>
      </c>
      <c r="AX235">
        <v>272035</v>
      </c>
    </row>
    <row r="236" spans="1:50" ht="14.5" x14ac:dyDescent="0.35">
      <c r="A236" s="72" t="s">
        <v>459</v>
      </c>
      <c r="B236" s="72" t="str">
        <f>VLOOKUP(Tabelle_Abfrage_von_MS_Access_Database3[[#This Row],[LAND]],Texte!$A$4:$C$261,Texte!$A$1+1,FALSE)</f>
        <v>Föd.Mikronesien</v>
      </c>
      <c r="C236" s="72" t="s">
        <v>526</v>
      </c>
      <c r="D236" s="72" t="s">
        <v>557</v>
      </c>
      <c r="E236" s="73">
        <v>0</v>
      </c>
      <c r="F236" s="73">
        <v>0</v>
      </c>
      <c r="G236" s="73">
        <v>0</v>
      </c>
      <c r="H236" s="73">
        <v>0</v>
      </c>
      <c r="I236" s="73">
        <v>0</v>
      </c>
      <c r="J236" s="73">
        <v>0</v>
      </c>
      <c r="K236" s="73">
        <v>0</v>
      </c>
      <c r="L236" s="73">
        <v>0</v>
      </c>
      <c r="M236" s="73">
        <v>0</v>
      </c>
      <c r="N236" s="73">
        <v>0</v>
      </c>
      <c r="O236" s="73">
        <v>0</v>
      </c>
      <c r="P236" s="73">
        <v>0</v>
      </c>
      <c r="Q236" s="73">
        <v>0</v>
      </c>
      <c r="R236" s="73">
        <v>0</v>
      </c>
      <c r="S236" s="73">
        <v>0</v>
      </c>
      <c r="T236" s="73">
        <v>0</v>
      </c>
      <c r="U236" s="73">
        <v>0</v>
      </c>
      <c r="V236" s="74"/>
      <c r="W236" s="73">
        <v>0</v>
      </c>
      <c r="X236" s="73">
        <v>872</v>
      </c>
      <c r="Y236" s="73">
        <v>11846</v>
      </c>
      <c r="Z236" s="74"/>
      <c r="AA236" s="73">
        <v>4506</v>
      </c>
      <c r="AB236" s="73">
        <v>50850</v>
      </c>
      <c r="AC236" s="73">
        <v>269258</v>
      </c>
      <c r="AD236" s="73">
        <v>35479</v>
      </c>
      <c r="AE236" s="73">
        <v>279</v>
      </c>
      <c r="AF236" s="74"/>
      <c r="AG236" s="73">
        <v>0</v>
      </c>
      <c r="AH236" s="73">
        <v>42634</v>
      </c>
      <c r="AI236" s="73">
        <v>0</v>
      </c>
      <c r="AJ236" s="73">
        <v>3274</v>
      </c>
      <c r="AK236" s="73">
        <v>33283</v>
      </c>
      <c r="AL236" s="73">
        <v>264202</v>
      </c>
      <c r="AM236" s="73">
        <v>0</v>
      </c>
      <c r="AN236" s="73">
        <v>0</v>
      </c>
      <c r="AO236" s="74"/>
      <c r="AP236" s="73">
        <v>555</v>
      </c>
      <c r="AQ236" s="74"/>
      <c r="AR236" s="73">
        <v>86</v>
      </c>
      <c r="AS236" s="74"/>
      <c r="AT236" s="73">
        <v>0</v>
      </c>
      <c r="AU236" s="73">
        <v>73</v>
      </c>
      <c r="AV236">
        <v>1566</v>
      </c>
      <c r="AW236">
        <v>48369</v>
      </c>
      <c r="AX236">
        <v>35224</v>
      </c>
    </row>
    <row r="237" spans="1:50" ht="14.5" x14ac:dyDescent="0.35">
      <c r="A237" s="72" t="s">
        <v>461</v>
      </c>
      <c r="B237" s="72" t="str">
        <f>VLOOKUP(Tabelle_Abfrage_von_MS_Access_Database3[[#This Row],[LAND]],Texte!$A$4:$C$261,Texte!$A$1+1,FALSE)</f>
        <v>Marshall-Inseln</v>
      </c>
      <c r="C237" s="72" t="s">
        <v>525</v>
      </c>
      <c r="D237" s="72" t="s">
        <v>557</v>
      </c>
      <c r="E237" s="73">
        <v>0</v>
      </c>
      <c r="F237" s="73">
        <v>0</v>
      </c>
      <c r="G237" s="73">
        <v>0</v>
      </c>
      <c r="H237" s="73">
        <v>0</v>
      </c>
      <c r="I237" s="73">
        <v>0</v>
      </c>
      <c r="J237" s="73">
        <v>0</v>
      </c>
      <c r="K237" s="73">
        <v>0</v>
      </c>
      <c r="L237" s="73">
        <v>0</v>
      </c>
      <c r="M237" s="73">
        <v>0</v>
      </c>
      <c r="N237" s="73">
        <v>0</v>
      </c>
      <c r="O237" s="73">
        <v>0</v>
      </c>
      <c r="P237" s="73">
        <v>0</v>
      </c>
      <c r="Q237" s="73">
        <v>0</v>
      </c>
      <c r="R237" s="73">
        <v>0</v>
      </c>
      <c r="S237" s="73">
        <v>0</v>
      </c>
      <c r="T237" s="73">
        <v>0</v>
      </c>
      <c r="U237" s="73">
        <v>0</v>
      </c>
      <c r="V237" s="73">
        <v>727</v>
      </c>
      <c r="W237" s="74"/>
      <c r="X237" s="73">
        <v>32194</v>
      </c>
      <c r="Y237" s="73">
        <v>41860</v>
      </c>
      <c r="Z237" s="73">
        <v>3778</v>
      </c>
      <c r="AA237" s="73">
        <v>0</v>
      </c>
      <c r="AB237" s="73">
        <v>8310</v>
      </c>
      <c r="AC237" s="73">
        <v>416</v>
      </c>
      <c r="AD237" s="73">
        <v>48</v>
      </c>
      <c r="AE237" s="73">
        <v>0</v>
      </c>
      <c r="AF237" s="73">
        <v>0</v>
      </c>
      <c r="AG237" s="73">
        <v>4102</v>
      </c>
      <c r="AH237" s="73">
        <v>344</v>
      </c>
      <c r="AI237" s="73">
        <v>15330</v>
      </c>
      <c r="AJ237" s="73">
        <v>4113965</v>
      </c>
      <c r="AK237" s="73">
        <v>1402090</v>
      </c>
      <c r="AL237" s="73">
        <v>0</v>
      </c>
      <c r="AM237" s="73">
        <v>0</v>
      </c>
      <c r="AN237" s="73">
        <v>0</v>
      </c>
      <c r="AO237" s="73">
        <v>0</v>
      </c>
      <c r="AP237" s="73">
        <v>281436</v>
      </c>
      <c r="AQ237" s="73">
        <v>72078</v>
      </c>
      <c r="AR237" s="73">
        <v>390</v>
      </c>
      <c r="AS237" s="73">
        <v>8404</v>
      </c>
      <c r="AT237" s="73">
        <v>0</v>
      </c>
      <c r="AU237" s="73">
        <v>0</v>
      </c>
      <c r="AV237">
        <v>120</v>
      </c>
      <c r="AW237">
        <v>150</v>
      </c>
      <c r="AX237">
        <v>455</v>
      </c>
    </row>
    <row r="238" spans="1:50" ht="14.5" x14ac:dyDescent="0.35">
      <c r="A238" s="72" t="s">
        <v>463</v>
      </c>
      <c r="B238" s="72" t="str">
        <f>VLOOKUP(Tabelle_Abfrage_von_MS_Access_Database3[[#This Row],[LAND]],Texte!$A$4:$C$261,Texte!$A$1+1,FALSE)</f>
        <v>Palau</v>
      </c>
      <c r="C238" s="72" t="s">
        <v>528</v>
      </c>
      <c r="D238" s="72" t="s">
        <v>557</v>
      </c>
      <c r="E238" s="73">
        <v>0</v>
      </c>
      <c r="F238" s="73">
        <v>0</v>
      </c>
      <c r="G238" s="73">
        <v>0</v>
      </c>
      <c r="H238" s="73">
        <v>0</v>
      </c>
      <c r="I238" s="73">
        <v>0</v>
      </c>
      <c r="J238" s="73">
        <v>0</v>
      </c>
      <c r="K238" s="73">
        <v>0</v>
      </c>
      <c r="L238" s="73">
        <v>0</v>
      </c>
      <c r="M238" s="73">
        <v>0</v>
      </c>
      <c r="N238" s="73">
        <v>0</v>
      </c>
      <c r="O238" s="73">
        <v>0</v>
      </c>
      <c r="P238" s="73">
        <v>0</v>
      </c>
      <c r="Q238" s="73">
        <v>0</v>
      </c>
      <c r="R238" s="73">
        <v>0</v>
      </c>
      <c r="S238" s="73">
        <v>0</v>
      </c>
      <c r="T238" s="73">
        <v>0</v>
      </c>
      <c r="U238" s="73">
        <v>0</v>
      </c>
      <c r="V238" s="74"/>
      <c r="W238" s="74"/>
      <c r="X238" s="74"/>
      <c r="Y238" s="73">
        <v>7486</v>
      </c>
      <c r="Z238" s="73">
        <v>26453</v>
      </c>
      <c r="AA238" s="73">
        <v>436</v>
      </c>
      <c r="AB238" s="73">
        <v>291</v>
      </c>
      <c r="AC238" s="73">
        <v>13308</v>
      </c>
      <c r="AD238" s="73">
        <v>26666</v>
      </c>
      <c r="AE238" s="73">
        <v>14</v>
      </c>
      <c r="AF238" s="73">
        <v>15204</v>
      </c>
      <c r="AG238" s="73">
        <v>0</v>
      </c>
      <c r="AH238" s="74"/>
      <c r="AI238" s="73">
        <v>0</v>
      </c>
      <c r="AJ238" s="73">
        <v>474</v>
      </c>
      <c r="AK238" s="74"/>
      <c r="AL238" s="73">
        <v>532</v>
      </c>
      <c r="AM238" s="73">
        <v>87</v>
      </c>
      <c r="AN238" s="73">
        <v>0</v>
      </c>
      <c r="AO238" s="73">
        <v>147</v>
      </c>
      <c r="AP238" s="73">
        <v>0</v>
      </c>
      <c r="AQ238" s="73">
        <v>0</v>
      </c>
      <c r="AR238" s="73">
        <v>10893</v>
      </c>
      <c r="AS238" s="73">
        <v>9360</v>
      </c>
      <c r="AT238" s="73">
        <v>9661</v>
      </c>
      <c r="AU238" s="73">
        <v>9197</v>
      </c>
      <c r="AV238">
        <v>14736</v>
      </c>
      <c r="AW238">
        <v>6844</v>
      </c>
      <c r="AX238">
        <v>1419</v>
      </c>
    </row>
    <row r="239" spans="1:50" ht="14.5" x14ac:dyDescent="0.35">
      <c r="A239" s="72" t="s">
        <v>465</v>
      </c>
      <c r="B239" s="72" t="str">
        <f>VLOOKUP(Tabelle_Abfrage_von_MS_Access_Database3[[#This Row],[LAND]],Texte!$A$4:$C$261,Texte!$A$1+1,FALSE)</f>
        <v>Amerikanisch-Samoa</v>
      </c>
      <c r="C239" s="72" t="s">
        <v>532</v>
      </c>
      <c r="D239" s="72" t="s">
        <v>557</v>
      </c>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3">
        <v>0</v>
      </c>
      <c r="AC239" s="73">
        <v>37360</v>
      </c>
      <c r="AD239" s="73">
        <v>4897</v>
      </c>
      <c r="AE239" s="73">
        <v>46061</v>
      </c>
      <c r="AF239" s="73">
        <v>2064</v>
      </c>
      <c r="AG239" s="73">
        <v>0</v>
      </c>
      <c r="AH239" s="73">
        <v>416</v>
      </c>
      <c r="AI239" s="73">
        <v>65</v>
      </c>
      <c r="AJ239" s="73">
        <v>67500</v>
      </c>
      <c r="AK239" s="73">
        <v>87</v>
      </c>
      <c r="AL239" s="73">
        <v>188</v>
      </c>
      <c r="AM239" s="73">
        <v>0</v>
      </c>
      <c r="AN239" s="73">
        <v>0</v>
      </c>
      <c r="AO239" s="74"/>
      <c r="AP239" s="73">
        <v>35145</v>
      </c>
      <c r="AQ239" s="73">
        <v>6568</v>
      </c>
      <c r="AR239" s="73">
        <v>303</v>
      </c>
      <c r="AS239" s="73">
        <v>5783</v>
      </c>
      <c r="AT239" s="73">
        <v>528</v>
      </c>
      <c r="AU239" s="73">
        <v>10027</v>
      </c>
      <c r="AV239">
        <v>1806</v>
      </c>
      <c r="AW239">
        <v>8512</v>
      </c>
      <c r="AX239">
        <v>20171</v>
      </c>
    </row>
    <row r="240" spans="1:50" ht="14.5" x14ac:dyDescent="0.35">
      <c r="A240" s="72" t="s">
        <v>467</v>
      </c>
      <c r="B240" s="72" t="str">
        <f>VLOOKUP(Tabelle_Abfrage_von_MS_Access_Database3[[#This Row],[LAND]],Texte!$A$4:$C$261,Texte!$A$1+1,FALSE)</f>
        <v>Guam</v>
      </c>
      <c r="C240" s="72" t="s">
        <v>531</v>
      </c>
      <c r="D240" s="72" t="s">
        <v>557</v>
      </c>
      <c r="E240" s="73">
        <v>0</v>
      </c>
      <c r="F240" s="73">
        <v>0</v>
      </c>
      <c r="G240" s="73">
        <v>0</v>
      </c>
      <c r="H240" s="73">
        <v>0</v>
      </c>
      <c r="I240" s="73">
        <v>0</v>
      </c>
      <c r="J240" s="73">
        <v>0</v>
      </c>
      <c r="K240" s="73">
        <v>0</v>
      </c>
      <c r="L240" s="73">
        <v>0</v>
      </c>
      <c r="M240" s="73">
        <v>0</v>
      </c>
      <c r="N240" s="73">
        <v>0</v>
      </c>
      <c r="O240" s="73">
        <v>0</v>
      </c>
      <c r="P240" s="73">
        <v>0</v>
      </c>
      <c r="Q240" s="73">
        <v>0</v>
      </c>
      <c r="R240" s="73">
        <v>0</v>
      </c>
      <c r="S240" s="73">
        <v>0</v>
      </c>
      <c r="T240" s="73">
        <v>0</v>
      </c>
      <c r="U240" s="73">
        <v>0</v>
      </c>
      <c r="V240" s="74"/>
      <c r="W240" s="74"/>
      <c r="X240" s="74"/>
      <c r="Y240" s="74"/>
      <c r="Z240" s="74"/>
      <c r="AA240" s="74"/>
      <c r="AB240" s="73">
        <v>612810</v>
      </c>
      <c r="AC240" s="73">
        <v>1137</v>
      </c>
      <c r="AD240" s="73">
        <v>235820</v>
      </c>
      <c r="AE240" s="73">
        <v>7972</v>
      </c>
      <c r="AF240" s="73">
        <v>2588</v>
      </c>
      <c r="AG240" s="73">
        <v>3024</v>
      </c>
      <c r="AH240" s="73">
        <v>3605</v>
      </c>
      <c r="AI240" s="73">
        <v>4376</v>
      </c>
      <c r="AJ240" s="73">
        <v>43151</v>
      </c>
      <c r="AK240" s="73">
        <v>9287</v>
      </c>
      <c r="AL240" s="73">
        <v>8749</v>
      </c>
      <c r="AM240" s="73">
        <v>3987</v>
      </c>
      <c r="AN240" s="74"/>
      <c r="AO240" s="73">
        <v>1828</v>
      </c>
      <c r="AP240" s="73">
        <v>78173</v>
      </c>
      <c r="AQ240" s="73">
        <v>0</v>
      </c>
      <c r="AR240" s="73">
        <v>3000</v>
      </c>
      <c r="AS240" s="73">
        <v>35158</v>
      </c>
      <c r="AT240" s="73">
        <v>3180</v>
      </c>
      <c r="AU240" s="73">
        <v>1313</v>
      </c>
      <c r="AV240">
        <v>5090</v>
      </c>
      <c r="AW240">
        <v>44825</v>
      </c>
      <c r="AX240">
        <v>30173</v>
      </c>
    </row>
    <row r="241" spans="1:50" ht="14.5" x14ac:dyDescent="0.35">
      <c r="A241" s="72" t="s">
        <v>469</v>
      </c>
      <c r="B241" s="72" t="str">
        <f>VLOOKUP(Tabelle_Abfrage_von_MS_Access_Database3[[#This Row],[LAND]],Texte!$A$4:$C$261,Texte!$A$1+1,FALSE)</f>
        <v>Kl.amerikan.Überseeinseln</v>
      </c>
      <c r="C241" s="72" t="s">
        <v>532</v>
      </c>
      <c r="D241" s="72" t="s">
        <v>557</v>
      </c>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3">
        <v>0</v>
      </c>
      <c r="AC241" s="73">
        <v>577052</v>
      </c>
      <c r="AD241" s="73">
        <v>593551</v>
      </c>
      <c r="AE241" s="73">
        <v>29476</v>
      </c>
      <c r="AF241" s="73">
        <v>48445</v>
      </c>
      <c r="AG241" s="73">
        <v>16885</v>
      </c>
      <c r="AH241" s="73">
        <v>59376</v>
      </c>
      <c r="AI241" s="73">
        <v>94239</v>
      </c>
      <c r="AJ241" s="73">
        <v>35438</v>
      </c>
      <c r="AK241" s="73">
        <v>100427</v>
      </c>
      <c r="AL241" s="73">
        <v>72</v>
      </c>
      <c r="AM241" s="73">
        <v>12079</v>
      </c>
      <c r="AN241" s="73">
        <v>703</v>
      </c>
      <c r="AO241" s="73">
        <v>5894</v>
      </c>
      <c r="AP241" s="73">
        <v>906</v>
      </c>
      <c r="AQ241" s="73">
        <v>3160</v>
      </c>
      <c r="AR241" s="73">
        <v>2327</v>
      </c>
      <c r="AS241" s="73">
        <v>1276</v>
      </c>
      <c r="AT241" s="73">
        <v>36465</v>
      </c>
      <c r="AU241" s="73">
        <v>16432</v>
      </c>
      <c r="AV241">
        <v>188469</v>
      </c>
      <c r="AW241">
        <v>8598</v>
      </c>
      <c r="AX241">
        <v>88714</v>
      </c>
    </row>
    <row r="242" spans="1:50" ht="14.5" x14ac:dyDescent="0.35">
      <c r="A242" s="72" t="s">
        <v>471</v>
      </c>
      <c r="B242" s="72" t="str">
        <f>VLOOKUP(Tabelle_Abfrage_von_MS_Access_Database3[[#This Row],[LAND]],Texte!$A$4:$C$261,Texte!$A$1+1,FALSE)</f>
        <v>Kokosinseln</v>
      </c>
      <c r="C242" s="72" t="s">
        <v>532</v>
      </c>
      <c r="D242" s="72" t="s">
        <v>557</v>
      </c>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3">
        <v>0</v>
      </c>
      <c r="AC242" s="73">
        <v>18552</v>
      </c>
      <c r="AD242" s="73">
        <v>270</v>
      </c>
      <c r="AE242" s="73">
        <v>0</v>
      </c>
      <c r="AF242" s="73">
        <v>7004</v>
      </c>
      <c r="AG242" s="74"/>
      <c r="AH242" s="73">
        <v>51861</v>
      </c>
      <c r="AI242" s="73">
        <v>617</v>
      </c>
      <c r="AJ242" s="73">
        <v>985</v>
      </c>
      <c r="AK242" s="73">
        <v>15260</v>
      </c>
      <c r="AL242" s="73">
        <v>2277</v>
      </c>
      <c r="AM242" s="73">
        <v>67</v>
      </c>
      <c r="AN242" s="74"/>
      <c r="AO242" s="73">
        <v>157</v>
      </c>
      <c r="AP242" s="73">
        <v>6049</v>
      </c>
      <c r="AQ242" s="73">
        <v>47293</v>
      </c>
      <c r="AR242" s="73">
        <v>52590</v>
      </c>
      <c r="AS242" s="73">
        <v>16457</v>
      </c>
      <c r="AT242" s="73">
        <v>4438</v>
      </c>
      <c r="AU242" s="73">
        <v>8058</v>
      </c>
      <c r="AV242">
        <v>6173</v>
      </c>
      <c r="AW242">
        <v>1910</v>
      </c>
      <c r="AX242">
        <v>1516</v>
      </c>
    </row>
    <row r="243" spans="1:50" ht="14.5" x14ac:dyDescent="0.35">
      <c r="A243" s="72" t="s">
        <v>473</v>
      </c>
      <c r="B243" s="72" t="str">
        <f>VLOOKUP(Tabelle_Abfrage_von_MS_Access_Database3[[#This Row],[LAND]],Texte!$A$4:$C$261,Texte!$A$1+1,FALSE)</f>
        <v>Weihnachtsinseln</v>
      </c>
      <c r="C243" s="72" t="s">
        <v>532</v>
      </c>
      <c r="D243" s="72" t="s">
        <v>557</v>
      </c>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3">
        <v>0</v>
      </c>
      <c r="AC243" s="73">
        <v>1713</v>
      </c>
      <c r="AD243" s="73">
        <v>73394</v>
      </c>
      <c r="AE243" s="73">
        <v>247</v>
      </c>
      <c r="AF243" s="73">
        <v>0</v>
      </c>
      <c r="AG243" s="73">
        <v>13</v>
      </c>
      <c r="AH243" s="73">
        <v>6709</v>
      </c>
      <c r="AI243" s="73">
        <v>199</v>
      </c>
      <c r="AJ243" s="73">
        <v>76</v>
      </c>
      <c r="AK243" s="73">
        <v>598</v>
      </c>
      <c r="AL243" s="73">
        <v>12156</v>
      </c>
      <c r="AM243" s="73">
        <v>237</v>
      </c>
      <c r="AN243" s="73">
        <v>0</v>
      </c>
      <c r="AO243" s="73">
        <v>8865</v>
      </c>
      <c r="AP243" s="73">
        <v>2412</v>
      </c>
      <c r="AQ243" s="73">
        <v>0</v>
      </c>
      <c r="AR243" s="73">
        <v>27678</v>
      </c>
      <c r="AS243" s="74"/>
      <c r="AT243" s="73">
        <v>85415</v>
      </c>
      <c r="AU243" s="73">
        <v>292102</v>
      </c>
      <c r="AV243">
        <v>22763</v>
      </c>
      <c r="AW243">
        <v>89019</v>
      </c>
      <c r="AX243">
        <v>153043</v>
      </c>
    </row>
    <row r="244" spans="1:50" ht="14.5" x14ac:dyDescent="0.35">
      <c r="A244" s="72" t="s">
        <v>475</v>
      </c>
      <c r="B244" s="72" t="str">
        <f>VLOOKUP(Tabelle_Abfrage_von_MS_Access_Database3[[#This Row],[LAND]],Texte!$A$4:$C$261,Texte!$A$1+1,FALSE)</f>
        <v>Heard u. McDonaldinseln</v>
      </c>
      <c r="C244" s="72" t="s">
        <v>532</v>
      </c>
      <c r="D244" s="72" t="s">
        <v>557</v>
      </c>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3">
        <v>0</v>
      </c>
      <c r="AC244" s="73">
        <v>336</v>
      </c>
      <c r="AD244" s="74"/>
      <c r="AE244" s="73">
        <v>56</v>
      </c>
      <c r="AF244" s="74"/>
      <c r="AG244" s="73">
        <v>77</v>
      </c>
      <c r="AH244" s="74"/>
      <c r="AI244" s="74"/>
      <c r="AJ244" s="74"/>
      <c r="AK244" s="73">
        <v>111</v>
      </c>
      <c r="AL244" s="74"/>
      <c r="AM244" s="74"/>
      <c r="AN244" s="74"/>
      <c r="AO244" s="74"/>
      <c r="AP244" s="74"/>
      <c r="AQ244" s="74"/>
      <c r="AR244" s="74"/>
      <c r="AS244" s="74"/>
      <c r="AT244" s="74"/>
      <c r="AU244" s="74"/>
    </row>
    <row r="245" spans="1:50" ht="14.5" x14ac:dyDescent="0.35">
      <c r="A245" s="72" t="s">
        <v>477</v>
      </c>
      <c r="B245" s="72" t="str">
        <f>VLOOKUP(Tabelle_Abfrage_von_MS_Access_Database3[[#This Row],[LAND]],Texte!$A$4:$C$261,Texte!$A$1+1,FALSE)</f>
        <v>Norfolkinseln</v>
      </c>
      <c r="C245" s="72" t="s">
        <v>533</v>
      </c>
      <c r="D245" s="72" t="s">
        <v>557</v>
      </c>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3">
        <v>582</v>
      </c>
      <c r="AE245" s="73">
        <v>0</v>
      </c>
      <c r="AF245" s="73">
        <v>0</v>
      </c>
      <c r="AG245" s="73">
        <v>502</v>
      </c>
      <c r="AH245" s="73">
        <v>655</v>
      </c>
      <c r="AI245" s="73">
        <v>33</v>
      </c>
      <c r="AJ245" s="74"/>
      <c r="AK245" s="73">
        <v>1443</v>
      </c>
      <c r="AL245" s="74"/>
      <c r="AM245" s="74"/>
      <c r="AN245" s="74"/>
      <c r="AO245" s="74"/>
      <c r="AP245" s="73">
        <v>0</v>
      </c>
      <c r="AQ245" s="74"/>
      <c r="AR245" s="74"/>
      <c r="AS245" s="73">
        <v>2558</v>
      </c>
      <c r="AT245" s="74"/>
      <c r="AU245" s="74"/>
      <c r="AV245">
        <v>40</v>
      </c>
      <c r="AW245">
        <v>34</v>
      </c>
      <c r="AX245">
        <v>0</v>
      </c>
    </row>
    <row r="246" spans="1:50" ht="14.5" x14ac:dyDescent="0.35">
      <c r="A246" s="72" t="s">
        <v>479</v>
      </c>
      <c r="B246" s="72" t="str">
        <f>VLOOKUP(Tabelle_Abfrage_von_MS_Access_Database3[[#This Row],[LAND]],Texte!$A$4:$C$261,Texte!$A$1+1,FALSE)</f>
        <v>Cookinseln</v>
      </c>
      <c r="C246" s="72" t="s">
        <v>532</v>
      </c>
      <c r="D246" s="72" t="s">
        <v>557</v>
      </c>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3">
        <v>0</v>
      </c>
      <c r="AC246" s="73">
        <v>15306</v>
      </c>
      <c r="AD246" s="73">
        <v>64584</v>
      </c>
      <c r="AE246" s="74"/>
      <c r="AF246" s="73">
        <v>0</v>
      </c>
      <c r="AG246" s="73">
        <v>1290</v>
      </c>
      <c r="AH246" s="73">
        <v>6916</v>
      </c>
      <c r="AI246" s="73">
        <v>35709</v>
      </c>
      <c r="AJ246" s="73">
        <v>15452</v>
      </c>
      <c r="AK246" s="73">
        <v>3537</v>
      </c>
      <c r="AL246" s="73">
        <v>4638</v>
      </c>
      <c r="AM246" s="73">
        <v>1070</v>
      </c>
      <c r="AN246" s="74"/>
      <c r="AO246" s="74"/>
      <c r="AP246" s="73">
        <v>1635</v>
      </c>
      <c r="AQ246" s="73">
        <v>479</v>
      </c>
      <c r="AR246" s="73">
        <v>78719</v>
      </c>
      <c r="AS246" s="73">
        <v>64197</v>
      </c>
      <c r="AT246" s="73">
        <v>195809</v>
      </c>
      <c r="AU246" s="73">
        <v>125328</v>
      </c>
      <c r="AV246">
        <v>178462</v>
      </c>
      <c r="AW246">
        <v>22384</v>
      </c>
      <c r="AX246">
        <v>7901</v>
      </c>
    </row>
    <row r="247" spans="1:50" ht="14.5" x14ac:dyDescent="0.35">
      <c r="A247" s="72" t="s">
        <v>481</v>
      </c>
      <c r="B247" s="72" t="str">
        <f>VLOOKUP(Tabelle_Abfrage_von_MS_Access_Database3[[#This Row],[LAND]],Texte!$A$4:$C$261,Texte!$A$1+1,FALSE)</f>
        <v>Niue</v>
      </c>
      <c r="C247" s="72" t="s">
        <v>532</v>
      </c>
      <c r="D247" s="72" t="s">
        <v>557</v>
      </c>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3">
        <v>0</v>
      </c>
      <c r="AC247" s="73">
        <v>14021</v>
      </c>
      <c r="AD247" s="73">
        <v>14908</v>
      </c>
      <c r="AE247" s="73">
        <v>6705</v>
      </c>
      <c r="AF247" s="74"/>
      <c r="AG247" s="73">
        <v>24617</v>
      </c>
      <c r="AH247" s="73">
        <v>39007</v>
      </c>
      <c r="AI247" s="74"/>
      <c r="AJ247" s="73">
        <v>173</v>
      </c>
      <c r="AK247" s="73">
        <v>223</v>
      </c>
      <c r="AL247" s="73">
        <v>371</v>
      </c>
      <c r="AM247" s="73">
        <v>105</v>
      </c>
      <c r="AN247" s="74"/>
      <c r="AO247" s="73">
        <v>0</v>
      </c>
      <c r="AP247" s="73">
        <v>2130</v>
      </c>
      <c r="AQ247" s="73">
        <v>187</v>
      </c>
      <c r="AR247" s="73">
        <v>35381</v>
      </c>
      <c r="AS247" s="73">
        <v>51010</v>
      </c>
      <c r="AT247" s="73">
        <v>53735</v>
      </c>
      <c r="AU247" s="73">
        <v>91045</v>
      </c>
      <c r="AV247">
        <v>130379</v>
      </c>
      <c r="AW247">
        <v>207682</v>
      </c>
      <c r="AX247">
        <v>22572</v>
      </c>
    </row>
    <row r="248" spans="1:50" ht="14.5" x14ac:dyDescent="0.35">
      <c r="A248" s="72" t="s">
        <v>483</v>
      </c>
      <c r="B248" s="72" t="str">
        <f>VLOOKUP(Tabelle_Abfrage_von_MS_Access_Database3[[#This Row],[LAND]],Texte!$A$4:$C$261,Texte!$A$1+1,FALSE)</f>
        <v>Tokelauinseln</v>
      </c>
      <c r="C248" s="72" t="s">
        <v>532</v>
      </c>
      <c r="D248" s="72" t="s">
        <v>557</v>
      </c>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3">
        <v>0</v>
      </c>
      <c r="AC248" s="73">
        <v>155</v>
      </c>
      <c r="AD248" s="73">
        <v>10833</v>
      </c>
      <c r="AE248" s="73">
        <v>13154</v>
      </c>
      <c r="AF248" s="73">
        <v>8753</v>
      </c>
      <c r="AG248" s="73">
        <v>18885</v>
      </c>
      <c r="AH248" s="73">
        <v>679891</v>
      </c>
      <c r="AI248" s="73">
        <v>987950</v>
      </c>
      <c r="AJ248" s="73">
        <v>115002</v>
      </c>
      <c r="AK248" s="73">
        <v>291197</v>
      </c>
      <c r="AL248" s="73">
        <v>1985</v>
      </c>
      <c r="AM248" s="73">
        <v>5403</v>
      </c>
      <c r="AN248" s="73">
        <v>0</v>
      </c>
      <c r="AO248" s="73">
        <v>2965</v>
      </c>
      <c r="AP248" s="73">
        <v>91212</v>
      </c>
      <c r="AQ248" s="73">
        <v>18720</v>
      </c>
      <c r="AR248" s="73">
        <v>4466</v>
      </c>
      <c r="AS248" s="73">
        <v>13968</v>
      </c>
      <c r="AT248" s="73">
        <v>47183</v>
      </c>
      <c r="AU248" s="73">
        <v>23368</v>
      </c>
      <c r="AV248">
        <v>3144</v>
      </c>
      <c r="AW248">
        <v>128791</v>
      </c>
      <c r="AX248">
        <v>23667</v>
      </c>
    </row>
    <row r="249" spans="1:50" ht="14.5" x14ac:dyDescent="0.35">
      <c r="A249" s="72" t="s">
        <v>485</v>
      </c>
      <c r="B249" s="72" t="str">
        <f>VLOOKUP(Tabelle_Abfrage_von_MS_Access_Database3[[#This Row],[LAND]],Texte!$A$4:$C$261,Texte!$A$1+1,FALSE)</f>
        <v>Polargebiete</v>
      </c>
      <c r="C249" s="72" t="s">
        <v>518</v>
      </c>
      <c r="D249" s="72" t="s">
        <v>530</v>
      </c>
      <c r="E249" s="73">
        <v>0</v>
      </c>
      <c r="F249" s="73">
        <v>0</v>
      </c>
      <c r="G249" s="73">
        <v>0</v>
      </c>
      <c r="H249" s="73">
        <v>0</v>
      </c>
      <c r="I249" s="73">
        <v>0</v>
      </c>
      <c r="J249" s="73">
        <v>0</v>
      </c>
      <c r="K249" s="73">
        <v>0</v>
      </c>
      <c r="L249" s="73">
        <v>0</v>
      </c>
      <c r="M249" s="73">
        <v>0</v>
      </c>
      <c r="N249" s="73">
        <v>0</v>
      </c>
      <c r="O249" s="73">
        <v>2000</v>
      </c>
      <c r="P249" s="73">
        <v>0</v>
      </c>
      <c r="Q249" s="73">
        <v>0</v>
      </c>
      <c r="R249" s="73">
        <v>0</v>
      </c>
      <c r="S249" s="73">
        <v>0</v>
      </c>
      <c r="T249" s="73">
        <v>0</v>
      </c>
      <c r="U249" s="73">
        <v>0</v>
      </c>
      <c r="V249" s="73">
        <v>27833</v>
      </c>
      <c r="W249" s="73">
        <v>10174</v>
      </c>
      <c r="X249" s="73">
        <v>509</v>
      </c>
      <c r="Y249" s="73">
        <v>6614</v>
      </c>
      <c r="Z249" s="73">
        <v>218</v>
      </c>
      <c r="AA249" s="73">
        <v>78123</v>
      </c>
      <c r="AB249" s="74"/>
      <c r="AC249" s="74"/>
      <c r="AD249" s="74"/>
      <c r="AE249" s="74"/>
      <c r="AF249" s="74"/>
      <c r="AG249" s="74"/>
      <c r="AH249" s="74"/>
      <c r="AI249" s="74"/>
      <c r="AJ249" s="74"/>
      <c r="AK249" s="74"/>
      <c r="AL249" s="74"/>
      <c r="AM249" s="74"/>
      <c r="AN249" s="74"/>
      <c r="AO249" s="74"/>
      <c r="AP249" s="74"/>
      <c r="AQ249" s="74"/>
      <c r="AR249" s="74"/>
      <c r="AS249" s="74"/>
      <c r="AT249" s="74"/>
      <c r="AU249" s="74"/>
    </row>
    <row r="250" spans="1:50" ht="14.5" x14ac:dyDescent="0.35">
      <c r="A250" s="72" t="s">
        <v>487</v>
      </c>
      <c r="B250" s="72" t="str">
        <f>VLOOKUP(Tabelle_Abfrage_von_MS_Access_Database3[[#This Row],[LAND]],Texte!$A$4:$C$261,Texte!$A$1+1,FALSE)</f>
        <v>Antarktis</v>
      </c>
      <c r="C250" s="72" t="s">
        <v>532</v>
      </c>
      <c r="D250" s="72" t="s">
        <v>557</v>
      </c>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3">
        <v>0</v>
      </c>
      <c r="AC250" s="73">
        <v>7464</v>
      </c>
      <c r="AD250" s="73">
        <v>17958</v>
      </c>
      <c r="AE250" s="73">
        <v>2520</v>
      </c>
      <c r="AF250" s="73">
        <v>101</v>
      </c>
      <c r="AG250" s="74"/>
      <c r="AH250" s="74"/>
      <c r="AI250" s="74"/>
      <c r="AJ250" s="74"/>
      <c r="AK250" s="73">
        <v>3494</v>
      </c>
      <c r="AL250" s="73">
        <v>1305</v>
      </c>
      <c r="AM250" s="73">
        <v>1609</v>
      </c>
      <c r="AN250" s="74"/>
      <c r="AO250" s="74"/>
      <c r="AP250" s="74"/>
      <c r="AQ250" s="74"/>
      <c r="AR250" s="74"/>
      <c r="AS250" s="74"/>
      <c r="AT250" s="74"/>
      <c r="AU250" s="74"/>
      <c r="AX250">
        <v>4875</v>
      </c>
    </row>
    <row r="251" spans="1:50" ht="14.5" x14ac:dyDescent="0.35">
      <c r="A251" s="72" t="s">
        <v>489</v>
      </c>
      <c r="B251" s="72" t="str">
        <f>VLOOKUP(Tabelle_Abfrage_von_MS_Access_Database3[[#This Row],[LAND]],Texte!$A$4:$C$261,Texte!$A$1+1,FALSE)</f>
        <v>Bouvetinsel</v>
      </c>
      <c r="C251" s="72" t="s">
        <v>532</v>
      </c>
      <c r="D251" s="72" t="s">
        <v>557</v>
      </c>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3">
        <v>0</v>
      </c>
      <c r="AC251" s="73">
        <v>34</v>
      </c>
      <c r="AD251" s="73">
        <v>4982</v>
      </c>
      <c r="AE251" s="73">
        <v>2313</v>
      </c>
      <c r="AF251" s="73">
        <v>0</v>
      </c>
      <c r="AG251" s="74"/>
      <c r="AH251" s="73">
        <v>49264</v>
      </c>
      <c r="AI251" s="74"/>
      <c r="AJ251" s="74"/>
      <c r="AK251" s="73">
        <v>4404</v>
      </c>
      <c r="AL251" s="73">
        <v>15</v>
      </c>
      <c r="AM251" s="73">
        <v>0</v>
      </c>
      <c r="AN251" s="74"/>
      <c r="AO251" s="74"/>
      <c r="AP251" s="74"/>
      <c r="AQ251" s="74"/>
      <c r="AR251" s="74"/>
      <c r="AS251" s="74"/>
      <c r="AT251" s="74"/>
      <c r="AU251" s="74"/>
      <c r="AX251">
        <v>48</v>
      </c>
    </row>
    <row r="252" spans="1:50" ht="14.5" x14ac:dyDescent="0.35">
      <c r="A252" s="72" t="s">
        <v>491</v>
      </c>
      <c r="B252" s="72" t="str">
        <f>VLOOKUP(Tabelle_Abfrage_von_MS_Access_Database3[[#This Row],[LAND]],Texte!$A$4:$C$261,Texte!$A$1+1,FALSE)</f>
        <v>Südgeorg./Südl.Sandwichi.</v>
      </c>
      <c r="C252" s="72" t="s">
        <v>532</v>
      </c>
      <c r="D252" s="72" t="s">
        <v>557</v>
      </c>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3">
        <v>0</v>
      </c>
      <c r="AC252" s="73">
        <v>5926</v>
      </c>
      <c r="AD252" s="73">
        <v>8419</v>
      </c>
      <c r="AE252" s="73">
        <v>1268</v>
      </c>
      <c r="AF252" s="73">
        <v>21007</v>
      </c>
      <c r="AG252" s="73">
        <v>3354</v>
      </c>
      <c r="AH252" s="73">
        <v>35</v>
      </c>
      <c r="AI252" s="73">
        <v>3</v>
      </c>
      <c r="AJ252" s="73">
        <v>9279</v>
      </c>
      <c r="AK252" s="73">
        <v>829</v>
      </c>
      <c r="AL252" s="73">
        <v>76032</v>
      </c>
      <c r="AM252" s="73">
        <v>2693184</v>
      </c>
      <c r="AN252" s="74"/>
      <c r="AO252" s="74"/>
      <c r="AP252" s="74"/>
      <c r="AQ252" s="74"/>
      <c r="AR252" s="74"/>
      <c r="AS252" s="74"/>
      <c r="AT252" s="74"/>
      <c r="AU252" s="74"/>
    </row>
    <row r="253" spans="1:50" ht="14.5" x14ac:dyDescent="0.35">
      <c r="A253" s="72" t="s">
        <v>493</v>
      </c>
      <c r="B253" s="72" t="str">
        <f>VLOOKUP(Tabelle_Abfrage_von_MS_Access_Database3[[#This Row],[LAND]],Texte!$A$4:$C$261,Texte!$A$1+1,FALSE)</f>
        <v>Französische Südgebiete</v>
      </c>
      <c r="C253" s="72" t="s">
        <v>532</v>
      </c>
      <c r="D253" s="72" t="s">
        <v>557</v>
      </c>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3">
        <v>0</v>
      </c>
      <c r="AC253" s="73">
        <v>56118</v>
      </c>
      <c r="AD253" s="73">
        <v>58764</v>
      </c>
      <c r="AE253" s="73">
        <v>2290</v>
      </c>
      <c r="AF253" s="73">
        <v>2308</v>
      </c>
      <c r="AG253" s="73">
        <v>558</v>
      </c>
      <c r="AH253" s="73">
        <v>3822</v>
      </c>
      <c r="AI253" s="73">
        <v>22300</v>
      </c>
      <c r="AJ253" s="73">
        <v>17172</v>
      </c>
      <c r="AK253" s="73">
        <v>1975</v>
      </c>
      <c r="AL253" s="73">
        <v>1164</v>
      </c>
      <c r="AM253" s="73">
        <v>36280</v>
      </c>
      <c r="AN253" s="73">
        <v>0</v>
      </c>
      <c r="AO253" s="74"/>
      <c r="AP253" s="74"/>
      <c r="AQ253" s="74"/>
      <c r="AR253" s="74"/>
      <c r="AS253" s="74"/>
      <c r="AT253" s="74"/>
      <c r="AU253" s="74"/>
      <c r="AX253">
        <v>393</v>
      </c>
    </row>
    <row r="254" spans="1:50" ht="14.5" x14ac:dyDescent="0.35">
      <c r="A254" s="72" t="s">
        <v>495</v>
      </c>
      <c r="B254" s="72" t="str">
        <f>VLOOKUP(Tabelle_Abfrage_von_MS_Access_Database3[[#This Row],[LAND]],Texte!$A$4:$C$261,Texte!$A$1+1,FALSE)</f>
        <v>Bordvorräte EU</v>
      </c>
      <c r="C254" s="72" t="s">
        <v>531</v>
      </c>
      <c r="D254" s="72" t="s">
        <v>557</v>
      </c>
      <c r="E254" s="73">
        <v>0</v>
      </c>
      <c r="F254" s="73">
        <v>0</v>
      </c>
      <c r="G254" s="73">
        <v>0</v>
      </c>
      <c r="H254" s="73">
        <v>0</v>
      </c>
      <c r="I254" s="73">
        <v>0</v>
      </c>
      <c r="J254" s="73">
        <v>0</v>
      </c>
      <c r="K254" s="73">
        <v>0</v>
      </c>
      <c r="L254" s="73">
        <v>0</v>
      </c>
      <c r="M254" s="73">
        <v>0</v>
      </c>
      <c r="N254" s="73">
        <v>0</v>
      </c>
      <c r="O254" s="73">
        <v>0</v>
      </c>
      <c r="P254" s="73">
        <v>0</v>
      </c>
      <c r="Q254" s="73">
        <v>0</v>
      </c>
      <c r="R254" s="73">
        <v>0</v>
      </c>
      <c r="S254" s="73">
        <v>0</v>
      </c>
      <c r="T254" s="73">
        <v>0</v>
      </c>
      <c r="U254" s="73">
        <v>0</v>
      </c>
      <c r="V254" s="74"/>
      <c r="W254" s="74"/>
      <c r="X254" s="74"/>
      <c r="Y254" s="74"/>
      <c r="Z254" s="74"/>
      <c r="AA254" s="74"/>
      <c r="AB254" s="73">
        <v>0</v>
      </c>
      <c r="AC254" s="73">
        <v>0</v>
      </c>
      <c r="AD254" s="73">
        <v>171535</v>
      </c>
      <c r="AE254" s="73">
        <v>660584</v>
      </c>
      <c r="AF254" s="73">
        <v>4213518</v>
      </c>
      <c r="AG254" s="73">
        <v>5204458</v>
      </c>
      <c r="AH254" s="73">
        <v>0</v>
      </c>
      <c r="AI254" s="73">
        <v>0</v>
      </c>
      <c r="AJ254" s="73">
        <v>0</v>
      </c>
      <c r="AK254" s="73">
        <v>0</v>
      </c>
      <c r="AL254" s="73">
        <v>0</v>
      </c>
      <c r="AM254" s="73">
        <v>0</v>
      </c>
      <c r="AN254" s="73">
        <v>0</v>
      </c>
      <c r="AO254" s="73">
        <v>0</v>
      </c>
      <c r="AP254" s="73">
        <v>0</v>
      </c>
      <c r="AQ254" s="73">
        <v>0</v>
      </c>
      <c r="AR254" s="73">
        <v>0</v>
      </c>
      <c r="AS254" s="73">
        <v>0</v>
      </c>
      <c r="AT254" s="73">
        <v>0</v>
      </c>
      <c r="AU254" s="73">
        <v>0</v>
      </c>
      <c r="AV254">
        <v>0</v>
      </c>
    </row>
    <row r="255" spans="1:50" ht="14.5" x14ac:dyDescent="0.35">
      <c r="A255" s="72" t="s">
        <v>497</v>
      </c>
      <c r="B255" s="72" t="str">
        <f>VLOOKUP(Tabelle_Abfrage_von_MS_Access_Database3[[#This Row],[LAND]],Texte!$A$4:$C$261,Texte!$A$1+1,FALSE)</f>
        <v>Bordvorräte Drittstaaten</v>
      </c>
      <c r="C255" s="72" t="s">
        <v>531</v>
      </c>
      <c r="D255" s="72" t="s">
        <v>557</v>
      </c>
      <c r="E255" s="73">
        <v>0</v>
      </c>
      <c r="F255" s="73">
        <v>0</v>
      </c>
      <c r="G255" s="73">
        <v>0</v>
      </c>
      <c r="H255" s="73">
        <v>0</v>
      </c>
      <c r="I255" s="73">
        <v>0</v>
      </c>
      <c r="J255" s="73">
        <v>0</v>
      </c>
      <c r="K255" s="73">
        <v>0</v>
      </c>
      <c r="L255" s="73">
        <v>0</v>
      </c>
      <c r="M255" s="73">
        <v>0</v>
      </c>
      <c r="N255" s="73">
        <v>0</v>
      </c>
      <c r="O255" s="73">
        <v>0</v>
      </c>
      <c r="P255" s="73">
        <v>0</v>
      </c>
      <c r="Q255" s="73">
        <v>0</v>
      </c>
      <c r="R255" s="73">
        <v>0</v>
      </c>
      <c r="S255" s="73">
        <v>0</v>
      </c>
      <c r="T255" s="73">
        <v>0</v>
      </c>
      <c r="U255" s="73">
        <v>0</v>
      </c>
      <c r="V255" s="74"/>
      <c r="W255" s="74"/>
      <c r="X255" s="74"/>
      <c r="Y255" s="74"/>
      <c r="Z255" s="74"/>
      <c r="AA255" s="74"/>
      <c r="AB255" s="73">
        <v>0</v>
      </c>
      <c r="AC255" s="73">
        <v>0</v>
      </c>
      <c r="AD255" s="73">
        <v>0</v>
      </c>
      <c r="AE255" s="73">
        <v>0</v>
      </c>
      <c r="AF255" s="73">
        <v>0</v>
      </c>
      <c r="AG255" s="73">
        <v>0</v>
      </c>
      <c r="AH255" s="73">
        <v>0</v>
      </c>
      <c r="AI255" s="73">
        <v>0</v>
      </c>
      <c r="AJ255" s="73">
        <v>0</v>
      </c>
      <c r="AK255" s="73">
        <v>0</v>
      </c>
      <c r="AL255" s="73">
        <v>0</v>
      </c>
      <c r="AM255" s="73">
        <v>0</v>
      </c>
      <c r="AN255" s="73">
        <v>0</v>
      </c>
      <c r="AO255" s="73">
        <v>0</v>
      </c>
      <c r="AP255" s="73">
        <v>0</v>
      </c>
      <c r="AQ255" s="73">
        <v>0</v>
      </c>
      <c r="AR255" s="73">
        <v>0</v>
      </c>
      <c r="AS255" s="73">
        <v>0</v>
      </c>
      <c r="AT255" s="73">
        <v>0</v>
      </c>
      <c r="AU255" s="73">
        <v>0</v>
      </c>
      <c r="AV255">
        <v>0</v>
      </c>
      <c r="AW255">
        <v>0</v>
      </c>
      <c r="AX255">
        <v>0</v>
      </c>
    </row>
    <row r="256" spans="1:50" ht="14.5" x14ac:dyDescent="0.35">
      <c r="A256" s="72" t="s">
        <v>764</v>
      </c>
      <c r="B256" s="72" t="str">
        <f>VLOOKUP(Tabelle_Abfrage_von_MS_Access_Database3[[#This Row],[LAND]],Texte!$A$4:$C$261,Texte!$A$1+1,FALSE)</f>
        <v>Hohe See</v>
      </c>
      <c r="C256" s="72" t="s">
        <v>558</v>
      </c>
      <c r="D256" s="72" t="s">
        <v>557</v>
      </c>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3">
        <v>0</v>
      </c>
      <c r="AS256" s="73">
        <v>0</v>
      </c>
      <c r="AT256" s="74"/>
      <c r="AU256" s="73"/>
      <c r="AW256">
        <v>0</v>
      </c>
      <c r="AX256">
        <v>0</v>
      </c>
    </row>
    <row r="257" spans="1:50" ht="14.5" x14ac:dyDescent="0.35">
      <c r="A257" s="72" t="s">
        <v>498</v>
      </c>
      <c r="B257" s="72" t="str">
        <f>VLOOKUP(Tabelle_Abfrage_von_MS_Access_Database3[[#This Row],[LAND]],Texte!$A$4:$C$261,Texte!$A$1+1,FALSE)</f>
        <v>Nicht ermitt. Gebiete EU</v>
      </c>
      <c r="C257" s="72" t="s">
        <v>537</v>
      </c>
      <c r="D257" s="72" t="s">
        <v>557</v>
      </c>
      <c r="E257" s="73">
        <v>0</v>
      </c>
      <c r="F257" s="73">
        <v>0</v>
      </c>
      <c r="G257" s="73">
        <v>0</v>
      </c>
      <c r="H257" s="73">
        <v>0</v>
      </c>
      <c r="I257" s="73">
        <v>0</v>
      </c>
      <c r="J257" s="73">
        <v>0</v>
      </c>
      <c r="K257" s="73">
        <v>0</v>
      </c>
      <c r="L257" s="73">
        <v>0</v>
      </c>
      <c r="M257" s="73">
        <v>0</v>
      </c>
      <c r="N257" s="73">
        <v>0</v>
      </c>
      <c r="O257" s="73">
        <v>0</v>
      </c>
      <c r="P257" s="73">
        <v>0</v>
      </c>
      <c r="Q257" s="73">
        <v>0</v>
      </c>
      <c r="R257" s="73">
        <v>0</v>
      </c>
      <c r="S257" s="73">
        <v>0</v>
      </c>
      <c r="T257" s="73">
        <v>0</v>
      </c>
      <c r="U257" s="73">
        <v>0</v>
      </c>
      <c r="V257" s="74"/>
      <c r="W257" s="74"/>
      <c r="X257" s="74"/>
      <c r="Y257" s="74"/>
      <c r="Z257" s="74"/>
      <c r="AA257" s="74"/>
      <c r="AB257" s="74"/>
      <c r="AC257" s="74"/>
      <c r="AD257" s="74"/>
      <c r="AE257" s="74"/>
      <c r="AF257" s="74"/>
      <c r="AG257" s="74"/>
      <c r="AH257" s="73">
        <v>0</v>
      </c>
      <c r="AI257" s="73">
        <v>0</v>
      </c>
      <c r="AJ257" s="74"/>
      <c r="AK257" s="74"/>
      <c r="AL257" s="74"/>
      <c r="AM257" s="74"/>
      <c r="AN257" s="74"/>
      <c r="AO257" s="74"/>
      <c r="AP257" s="74"/>
      <c r="AQ257" s="74"/>
      <c r="AR257" s="74"/>
      <c r="AS257" s="74"/>
      <c r="AT257" s="74"/>
      <c r="AU257" s="74"/>
    </row>
    <row r="258" spans="1:50" ht="14.5" x14ac:dyDescent="0.35">
      <c r="A258" s="72" t="s">
        <v>500</v>
      </c>
      <c r="B258" s="72" t="str">
        <f>VLOOKUP(Tabelle_Abfrage_von_MS_Access_Database3[[#This Row],[LAND]],Texte!$A$4:$C$261,Texte!$A$1+1,FALSE)</f>
        <v>Nicht ermitt.Drittstaaten</v>
      </c>
      <c r="C258" s="72" t="s">
        <v>532</v>
      </c>
      <c r="D258" s="72" t="s">
        <v>557</v>
      </c>
      <c r="E258" s="73">
        <v>0</v>
      </c>
      <c r="F258" s="73">
        <v>0</v>
      </c>
      <c r="G258" s="73">
        <v>0</v>
      </c>
      <c r="H258" s="73">
        <v>0</v>
      </c>
      <c r="I258" s="73">
        <v>0</v>
      </c>
      <c r="J258" s="73">
        <v>0</v>
      </c>
      <c r="K258" s="73">
        <v>0</v>
      </c>
      <c r="L258" s="73">
        <v>0</v>
      </c>
      <c r="M258" s="73">
        <v>0</v>
      </c>
      <c r="N258" s="73">
        <v>0</v>
      </c>
      <c r="O258" s="73">
        <v>0</v>
      </c>
      <c r="P258" s="73">
        <v>0</v>
      </c>
      <c r="Q258" s="73">
        <v>0</v>
      </c>
      <c r="R258" s="73">
        <v>0</v>
      </c>
      <c r="S258" s="73">
        <v>0</v>
      </c>
      <c r="T258" s="73">
        <v>0</v>
      </c>
      <c r="U258" s="73">
        <v>0</v>
      </c>
      <c r="V258" s="74"/>
      <c r="W258" s="74"/>
      <c r="X258" s="74"/>
      <c r="Y258" s="74"/>
      <c r="Z258" s="74"/>
      <c r="AA258" s="74"/>
      <c r="AB258" s="73">
        <v>0</v>
      </c>
      <c r="AC258" s="73">
        <v>136552685</v>
      </c>
      <c r="AD258" s="73">
        <v>134741604</v>
      </c>
      <c r="AE258" s="73">
        <v>57701273</v>
      </c>
      <c r="AF258" s="73">
        <v>71163181</v>
      </c>
      <c r="AG258" s="73">
        <v>68035808</v>
      </c>
      <c r="AH258" s="73">
        <v>56869780</v>
      </c>
      <c r="AI258" s="73">
        <v>11504993</v>
      </c>
      <c r="AJ258" s="73">
        <v>9525395</v>
      </c>
      <c r="AK258" s="74"/>
      <c r="AL258" s="74"/>
      <c r="AM258" s="73">
        <v>0</v>
      </c>
      <c r="AN258" s="73">
        <v>0</v>
      </c>
      <c r="AO258" s="73">
        <v>154879</v>
      </c>
      <c r="AP258" s="74"/>
      <c r="AQ258" s="73">
        <v>34991</v>
      </c>
      <c r="AR258" s="73">
        <v>36315</v>
      </c>
      <c r="AS258" s="74"/>
      <c r="AT258" s="74"/>
      <c r="AU258" s="74"/>
      <c r="AX258">
        <v>0</v>
      </c>
    </row>
    <row r="259" spans="1:50" ht="14.5" x14ac:dyDescent="0.35">
      <c r="A259" s="72" t="s">
        <v>502</v>
      </c>
      <c r="B259" s="72" t="str">
        <f>VLOOKUP(Tabelle_Abfrage_von_MS_Access_Database3[[#This Row],[LAND]],Texte!$A$4:$C$261,Texte!$A$1+1,FALSE)</f>
        <v>Kanarische Inseln (1998)</v>
      </c>
      <c r="C259" s="72" t="s">
        <v>508</v>
      </c>
      <c r="D259" s="72" t="s">
        <v>526</v>
      </c>
      <c r="E259" s="73">
        <v>2008000</v>
      </c>
      <c r="F259" s="73">
        <v>2076000</v>
      </c>
      <c r="G259" s="73">
        <v>2785000</v>
      </c>
      <c r="H259" s="73">
        <v>3100000</v>
      </c>
      <c r="I259" s="73">
        <v>3759000</v>
      </c>
      <c r="J259" s="73">
        <v>3674000</v>
      </c>
      <c r="K259" s="73">
        <v>3683000</v>
      </c>
      <c r="L259" s="73">
        <v>5031000</v>
      </c>
      <c r="M259" s="73">
        <v>5291000</v>
      </c>
      <c r="N259" s="73">
        <v>4148000</v>
      </c>
      <c r="O259" s="73">
        <v>0</v>
      </c>
      <c r="P259" s="73">
        <v>0</v>
      </c>
      <c r="Q259" s="73">
        <v>0</v>
      </c>
      <c r="R259" s="73">
        <v>0</v>
      </c>
      <c r="S259" s="73">
        <v>0</v>
      </c>
      <c r="T259" s="73">
        <v>0</v>
      </c>
      <c r="U259" s="73">
        <v>0</v>
      </c>
      <c r="V259" s="73">
        <v>4384861</v>
      </c>
      <c r="W259" s="73">
        <v>4437983</v>
      </c>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row>
    <row r="260" spans="1:50" ht="14.5" x14ac:dyDescent="0.35">
      <c r="A260" s="72" t="s">
        <v>766</v>
      </c>
      <c r="B260" s="66" t="s">
        <v>766</v>
      </c>
      <c r="C260" s="72" t="s">
        <v>508</v>
      </c>
      <c r="D260" s="72" t="s">
        <v>557</v>
      </c>
      <c r="E260" s="73">
        <v>11556327000</v>
      </c>
      <c r="F260" s="73">
        <v>13341441000</v>
      </c>
      <c r="G260" s="73">
        <v>15007858000</v>
      </c>
      <c r="H260" s="73">
        <v>15034744000</v>
      </c>
      <c r="I260" s="73">
        <v>15503126000</v>
      </c>
      <c r="J260" s="73">
        <v>16679479000</v>
      </c>
      <c r="K260" s="73">
        <v>18193679000</v>
      </c>
      <c r="L260" s="73">
        <v>20188271000</v>
      </c>
      <c r="M260" s="73">
        <v>20541811000</v>
      </c>
      <c r="N260" s="73">
        <v>21112544000</v>
      </c>
      <c r="O260" s="73">
        <v>23171543000</v>
      </c>
      <c r="P260" s="73">
        <v>26348495000</v>
      </c>
      <c r="Q260" s="73">
        <v>28613871000</v>
      </c>
      <c r="R260" s="73">
        <v>30183928000</v>
      </c>
      <c r="S260" s="73">
        <v>30386267000</v>
      </c>
      <c r="T260" s="73">
        <v>28453633000</v>
      </c>
      <c r="U260" s="73">
        <v>31252375000</v>
      </c>
      <c r="V260" s="73">
        <v>35044320478</v>
      </c>
      <c r="W260" s="73">
        <v>36680994500</v>
      </c>
      <c r="X260" s="73">
        <v>39612298540</v>
      </c>
      <c r="Y260" s="73">
        <v>42577046875</v>
      </c>
      <c r="Z260" s="73">
        <v>44932286086</v>
      </c>
      <c r="AA260" s="73">
        <v>49571952068</v>
      </c>
      <c r="AB260" s="73">
        <v>51450280267</v>
      </c>
      <c r="AC260" s="73">
        <v>50678292658</v>
      </c>
      <c r="AD260" s="73">
        <v>52826082067</v>
      </c>
      <c r="AE260" s="73">
        <v>60585731139</v>
      </c>
      <c r="AF260" s="73">
        <v>62548326446</v>
      </c>
      <c r="AG260" s="73">
        <v>66313416429</v>
      </c>
      <c r="AH260" s="73">
        <v>72463937544</v>
      </c>
      <c r="AI260" s="73">
        <v>73553708281</v>
      </c>
      <c r="AJ260" s="73">
        <v>60045499124</v>
      </c>
      <c r="AK260" s="73">
        <v>67813250829</v>
      </c>
      <c r="AL260" s="73">
        <v>75990441900</v>
      </c>
      <c r="AM260" s="73">
        <v>75166954284</v>
      </c>
      <c r="AN260" s="73">
        <v>74548212492</v>
      </c>
      <c r="AO260" s="73">
        <v>73850997160</v>
      </c>
      <c r="AP260" s="73">
        <v>74914455070</v>
      </c>
      <c r="AQ260" s="73">
        <v>76895426634</v>
      </c>
      <c r="AR260" s="73">
        <v>82618085587</v>
      </c>
      <c r="AS260" s="73">
        <v>86459561902</v>
      </c>
      <c r="AT260" s="73">
        <v>86513440631</v>
      </c>
      <c r="AU260" s="73">
        <v>78370507719</v>
      </c>
      <c r="AV260">
        <v>93187865143</v>
      </c>
      <c r="AW260">
        <v>109266780685</v>
      </c>
      <c r="AX260">
        <v>102228204393</v>
      </c>
    </row>
    <row r="261" spans="1:50" ht="14.5" x14ac:dyDescent="0.35">
      <c r="A261" s="72" t="s">
        <v>767</v>
      </c>
      <c r="B261" s="66" t="s">
        <v>767</v>
      </c>
      <c r="C261" s="72" t="s">
        <v>522</v>
      </c>
      <c r="D261" s="72" t="s">
        <v>557</v>
      </c>
      <c r="E261" s="74"/>
      <c r="F261" s="74"/>
      <c r="G261" s="74"/>
      <c r="H261" s="74"/>
      <c r="I261" s="74"/>
      <c r="J261" s="74"/>
      <c r="K261" s="74"/>
      <c r="L261" s="74"/>
      <c r="M261" s="74"/>
      <c r="N261" s="74"/>
      <c r="O261" s="74"/>
      <c r="P261" s="74"/>
      <c r="Q261" s="74"/>
      <c r="R261" s="74"/>
      <c r="S261" s="73">
        <v>31856771000</v>
      </c>
      <c r="T261" s="73">
        <v>30739299000</v>
      </c>
      <c r="U261" s="73">
        <v>33999122000</v>
      </c>
      <c r="V261" s="73">
        <v>38144674844</v>
      </c>
      <c r="W261" s="73">
        <v>40479162364</v>
      </c>
      <c r="X261" s="73">
        <v>44305514249</v>
      </c>
      <c r="Y261" s="73">
        <v>47885360544</v>
      </c>
      <c r="Z261" s="73">
        <v>50748138223</v>
      </c>
      <c r="AA261" s="73">
        <v>56692916092</v>
      </c>
      <c r="AB261" s="73">
        <v>59163094686</v>
      </c>
      <c r="AC261" s="73">
        <v>58464842511</v>
      </c>
      <c r="AD261" s="73">
        <v>61462292434</v>
      </c>
      <c r="AE261" s="73">
        <v>70273054212</v>
      </c>
      <c r="AF261" s="73">
        <v>72397412160</v>
      </c>
      <c r="AG261" s="73">
        <v>76795448153</v>
      </c>
      <c r="AH261" s="73">
        <v>84328630407</v>
      </c>
      <c r="AI261" s="73">
        <v>86923073255</v>
      </c>
      <c r="AJ261" s="73">
        <v>70417285191</v>
      </c>
      <c r="AK261" s="73">
        <v>81081835004</v>
      </c>
      <c r="AL261" s="73">
        <v>92046650729</v>
      </c>
      <c r="AM261" s="73">
        <v>91549324028</v>
      </c>
      <c r="AN261" s="73">
        <v>91027840171</v>
      </c>
      <c r="AO261" s="73">
        <v>90402626472</v>
      </c>
      <c r="AP261" s="73">
        <v>91839957090</v>
      </c>
      <c r="AQ261" s="73">
        <v>94571883247</v>
      </c>
      <c r="AR261" s="73">
        <v>101970758846</v>
      </c>
      <c r="AS261" s="73">
        <v>107599022329</v>
      </c>
      <c r="AT261" s="73">
        <v>107959478813</v>
      </c>
      <c r="AU261" s="73">
        <v>98102711380</v>
      </c>
      <c r="AV261">
        <v>117961677800</v>
      </c>
      <c r="AW261">
        <v>139291836978</v>
      </c>
      <c r="AX261">
        <v>129174141336</v>
      </c>
    </row>
    <row r="262" spans="1:50" ht="14.5" x14ac:dyDescent="0.35">
      <c r="A262" s="72" t="s">
        <v>768</v>
      </c>
      <c r="B262" s="66" t="s">
        <v>768</v>
      </c>
      <c r="C262" s="72" t="s">
        <v>536</v>
      </c>
      <c r="D262" s="72" t="s">
        <v>557</v>
      </c>
      <c r="E262" s="74"/>
      <c r="F262" s="74"/>
      <c r="G262" s="74"/>
      <c r="H262" s="74"/>
      <c r="I262" s="74"/>
      <c r="J262" s="74"/>
      <c r="K262" s="74"/>
      <c r="L262" s="74"/>
      <c r="M262" s="74"/>
      <c r="N262" s="74"/>
      <c r="O262" s="74"/>
      <c r="P262" s="74"/>
      <c r="Q262" s="74"/>
      <c r="R262" s="74"/>
      <c r="S262" s="73">
        <v>31978554000</v>
      </c>
      <c r="T262" s="73">
        <v>30843491000</v>
      </c>
      <c r="U262" s="73">
        <v>34144334000</v>
      </c>
      <c r="V262" s="73">
        <v>38296934367</v>
      </c>
      <c r="W262" s="73">
        <v>40669076159</v>
      </c>
      <c r="X262" s="73">
        <v>44574167547</v>
      </c>
      <c r="Y262" s="73">
        <v>48227034239</v>
      </c>
      <c r="Z262" s="73">
        <v>51086420800</v>
      </c>
      <c r="AA262" s="73">
        <v>57110062442</v>
      </c>
      <c r="AB262" s="73">
        <v>59696837024</v>
      </c>
      <c r="AC262" s="73">
        <v>59089890456</v>
      </c>
      <c r="AD262" s="73">
        <v>62213549750</v>
      </c>
      <c r="AE262" s="73">
        <v>71203952352</v>
      </c>
      <c r="AF262" s="73">
        <v>73368447635</v>
      </c>
      <c r="AG262" s="73">
        <v>77825854072</v>
      </c>
      <c r="AH262" s="73">
        <v>85269943972</v>
      </c>
      <c r="AI262" s="73">
        <v>88018341444</v>
      </c>
      <c r="AJ262" s="73">
        <v>71291755134</v>
      </c>
      <c r="AK262" s="73">
        <v>82345260054</v>
      </c>
      <c r="AL262" s="73">
        <v>93551993433</v>
      </c>
      <c r="AM262" s="73">
        <v>93039248325</v>
      </c>
      <c r="AN262" s="73">
        <v>92526737877</v>
      </c>
      <c r="AO262" s="73">
        <v>92010440357</v>
      </c>
      <c r="AP262" s="73">
        <v>93487599802</v>
      </c>
      <c r="AQ262" s="73">
        <v>96300606407</v>
      </c>
      <c r="AR262" s="73">
        <v>103858941568</v>
      </c>
      <c r="AS262" s="73">
        <v>109611549981</v>
      </c>
      <c r="AT262" s="73">
        <v>110009225469</v>
      </c>
      <c r="AU262" s="73">
        <v>100185184368</v>
      </c>
      <c r="AV262">
        <v>120826613976</v>
      </c>
      <c r="AW262">
        <v>142764733887</v>
      </c>
      <c r="AX262">
        <v>132342195073</v>
      </c>
    </row>
    <row r="263" spans="1:50" ht="14.5" x14ac:dyDescent="0.35">
      <c r="A263" s="72" t="s">
        <v>769</v>
      </c>
      <c r="B263" s="66" t="s">
        <v>769</v>
      </c>
      <c r="C263" s="72" t="s">
        <v>541</v>
      </c>
      <c r="D263" s="72" t="s">
        <v>557</v>
      </c>
      <c r="E263" s="74"/>
      <c r="F263" s="74"/>
      <c r="G263" s="74"/>
      <c r="H263" s="74"/>
      <c r="I263" s="74"/>
      <c r="J263" s="74"/>
      <c r="K263" s="74"/>
      <c r="L263" s="74"/>
      <c r="M263" s="74"/>
      <c r="N263" s="74"/>
      <c r="O263" s="74"/>
      <c r="P263" s="74"/>
      <c r="Q263" s="74"/>
      <c r="R263" s="74"/>
      <c r="S263" s="73">
        <v>32046672000</v>
      </c>
      <c r="T263" s="73">
        <v>30943808000</v>
      </c>
      <c r="U263" s="73">
        <v>34253747000</v>
      </c>
      <c r="V263" s="73">
        <v>38436776358</v>
      </c>
      <c r="W263" s="73">
        <v>40851218390</v>
      </c>
      <c r="X263" s="73">
        <v>44794217683</v>
      </c>
      <c r="Y263" s="73">
        <v>48452750384</v>
      </c>
      <c r="Z263" s="73">
        <v>51317566692</v>
      </c>
      <c r="AA263" s="73">
        <v>57393257206</v>
      </c>
      <c r="AB263" s="73">
        <v>60018651100</v>
      </c>
      <c r="AC263" s="73">
        <v>59454082865</v>
      </c>
      <c r="AD263" s="73">
        <v>62615672913</v>
      </c>
      <c r="AE263" s="73">
        <v>71787743232</v>
      </c>
      <c r="AF263" s="73">
        <v>73889404452</v>
      </c>
      <c r="AG263" s="73">
        <v>78459131600</v>
      </c>
      <c r="AH263" s="73">
        <v>85895653297</v>
      </c>
      <c r="AI263" s="73">
        <v>88707772533</v>
      </c>
      <c r="AJ263" s="73">
        <v>71765010677</v>
      </c>
      <c r="AK263" s="73">
        <v>82867377922</v>
      </c>
      <c r="AL263" s="73">
        <v>94181741718</v>
      </c>
      <c r="AM263" s="73">
        <v>93799974182</v>
      </c>
      <c r="AN263" s="73">
        <v>93170114060</v>
      </c>
      <c r="AO263" s="73">
        <v>92484839744</v>
      </c>
      <c r="AP263" s="73">
        <v>94026680417</v>
      </c>
      <c r="AQ263" s="73">
        <v>96917453018</v>
      </c>
      <c r="AR263" s="73">
        <v>104547539876</v>
      </c>
      <c r="AS263" s="73">
        <v>110320299547</v>
      </c>
      <c r="AT263" s="73">
        <v>110657703871</v>
      </c>
      <c r="AU263" s="73">
        <v>100910164230</v>
      </c>
      <c r="AV263">
        <v>121716384830</v>
      </c>
      <c r="AW263">
        <v>143734639726</v>
      </c>
      <c r="AX263">
        <v>133273467535</v>
      </c>
    </row>
    <row r="264" spans="1:50" ht="14.5" x14ac:dyDescent="0.35">
      <c r="A264" s="72" t="s">
        <v>504</v>
      </c>
      <c r="B264" s="66" t="str">
        <f>IF(Texte!A1=2,"World","Welt")</f>
        <v>Welt</v>
      </c>
      <c r="C264" s="72" t="s">
        <v>508</v>
      </c>
      <c r="D264" s="72" t="s">
        <v>557</v>
      </c>
      <c r="E264" s="73">
        <v>16851978000</v>
      </c>
      <c r="F264" s="73">
        <v>19611617000</v>
      </c>
      <c r="G264" s="73">
        <v>22953398000</v>
      </c>
      <c r="H264" s="73">
        <v>24309799000</v>
      </c>
      <c r="I264" s="73">
        <v>24167401000</v>
      </c>
      <c r="J264" s="73">
        <v>25314797000</v>
      </c>
      <c r="K264" s="73">
        <v>28494581000</v>
      </c>
      <c r="L264" s="73">
        <v>31319763000</v>
      </c>
      <c r="M264" s="73">
        <v>29647186000</v>
      </c>
      <c r="N264" s="73">
        <v>29930943000</v>
      </c>
      <c r="O264" s="73">
        <v>32807553000</v>
      </c>
      <c r="P264" s="73">
        <v>37403727000</v>
      </c>
      <c r="Q264" s="73">
        <v>40423113000</v>
      </c>
      <c r="R264" s="73">
        <v>43014924000</v>
      </c>
      <c r="S264" s="73">
        <v>43162105000</v>
      </c>
      <c r="T264" s="73">
        <v>41053570000</v>
      </c>
      <c r="U264" s="73">
        <v>45702324000</v>
      </c>
      <c r="V264" s="73">
        <v>48547713695</v>
      </c>
      <c r="W264" s="73">
        <v>51798258625</v>
      </c>
      <c r="X264" s="73">
        <v>57429761454</v>
      </c>
      <c r="Y264" s="73">
        <v>61199826620</v>
      </c>
      <c r="Z264" s="73">
        <v>65315500660</v>
      </c>
      <c r="AA264" s="73">
        <v>74935175786</v>
      </c>
      <c r="AB264" s="73">
        <v>78690995727</v>
      </c>
      <c r="AC264" s="73">
        <v>77104414366</v>
      </c>
      <c r="AD264" s="73">
        <v>80993348733</v>
      </c>
      <c r="AE264" s="73">
        <v>91094351231</v>
      </c>
      <c r="AF264" s="73">
        <v>96498905742</v>
      </c>
      <c r="AG264" s="73">
        <v>104200577129</v>
      </c>
      <c r="AH264" s="73">
        <v>114254858481</v>
      </c>
      <c r="AI264" s="73">
        <v>119567956543</v>
      </c>
      <c r="AJ264" s="73">
        <v>97574002857</v>
      </c>
      <c r="AK264" s="73">
        <v>113652122593</v>
      </c>
      <c r="AL264" s="73">
        <v>131007550828</v>
      </c>
      <c r="AM264" s="73">
        <v>131982036549</v>
      </c>
      <c r="AN264" s="73">
        <v>130706675616</v>
      </c>
      <c r="AO264" s="73">
        <v>129847248066</v>
      </c>
      <c r="AP264" s="73">
        <v>133529296834</v>
      </c>
      <c r="AQ264" s="73">
        <v>135667127916</v>
      </c>
      <c r="AR264" s="73">
        <v>147542228247</v>
      </c>
      <c r="AS264" s="73">
        <v>156056107883</v>
      </c>
      <c r="AT264" s="73">
        <v>157817218659</v>
      </c>
      <c r="AU264" s="73">
        <v>144421216843</v>
      </c>
      <c r="AV264">
        <v>178446290096</v>
      </c>
      <c r="AW264">
        <v>215272884063</v>
      </c>
      <c r="AX264">
        <v>201636635374</v>
      </c>
    </row>
  </sheetData>
  <phoneticPr fontId="2" type="noConversion"/>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X73"/>
  <sheetViews>
    <sheetView topLeftCell="E1" workbookViewId="0">
      <selection activeCell="A4" sqref="A4"/>
    </sheetView>
  </sheetViews>
  <sheetFormatPr baseColWidth="10" defaultRowHeight="12.5" x14ac:dyDescent="0.25"/>
  <cols>
    <col min="1" max="1" width="34.1796875" bestFit="1" customWidth="1"/>
    <col min="2" max="2" width="12.453125" bestFit="1" customWidth="1"/>
    <col min="3" max="3" width="12" bestFit="1" customWidth="1"/>
    <col min="5" max="5" width="12" bestFit="1" customWidth="1"/>
  </cols>
  <sheetData>
    <row r="1" spans="1:50" x14ac:dyDescent="0.25">
      <c r="A1" t="s">
        <v>545</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row>
    <row r="2" spans="1:50" x14ac:dyDescent="0.25">
      <c r="B2" s="19"/>
      <c r="C2" t="s">
        <v>559</v>
      </c>
      <c r="D2" t="s">
        <v>560</v>
      </c>
      <c r="E2">
        <f>VALUE(Tabelle_Abfrage_von_MS_Access_Database[[#Headers],[1978]])</f>
        <v>1978</v>
      </c>
      <c r="F2">
        <f>VALUE(Tabelle_Abfrage_von_MS_Access_Database[[#Headers],[1979]])</f>
        <v>1979</v>
      </c>
      <c r="G2">
        <f>VALUE(Tabelle_Abfrage_von_MS_Access_Database[[#Headers],[1980]])</f>
        <v>1980</v>
      </c>
      <c r="H2">
        <f>VALUE(Tabelle_Abfrage_von_MS_Access_Database[[#Headers],[1981]])</f>
        <v>1981</v>
      </c>
      <c r="I2">
        <f>VALUE(Tabelle_Abfrage_von_MS_Access_Database[[#Headers],[1982]])</f>
        <v>1982</v>
      </c>
      <c r="J2">
        <f>VALUE(Tabelle_Abfrage_von_MS_Access_Database[[#Headers],[1983]])</f>
        <v>1983</v>
      </c>
      <c r="K2">
        <f>VALUE(Tabelle_Abfrage_von_MS_Access_Database[[#Headers],[1984]])</f>
        <v>1984</v>
      </c>
      <c r="L2">
        <f>VALUE(Tabelle_Abfrage_von_MS_Access_Database[[#Headers],[1985]])</f>
        <v>1985</v>
      </c>
      <c r="M2">
        <f>VALUE(Tabelle_Abfrage_von_MS_Access_Database[[#Headers],[1986]])</f>
        <v>1986</v>
      </c>
      <c r="N2">
        <f>VALUE(Tabelle_Abfrage_von_MS_Access_Database[[#Headers],[1987]])</f>
        <v>1987</v>
      </c>
      <c r="O2">
        <f>VALUE(Tabelle_Abfrage_von_MS_Access_Database[[#Headers],[1988]])</f>
        <v>1988</v>
      </c>
      <c r="P2">
        <f>VALUE(Tabelle_Abfrage_von_MS_Access_Database[[#Headers],[1989]])</f>
        <v>1989</v>
      </c>
      <c r="Q2">
        <f>VALUE(Tabelle_Abfrage_von_MS_Access_Database[[#Headers],[1990]])</f>
        <v>1990</v>
      </c>
      <c r="R2">
        <f>VALUE(Tabelle_Abfrage_von_MS_Access_Database[[#Headers],[1991]])</f>
        <v>1991</v>
      </c>
      <c r="S2">
        <f>VALUE(Tabelle_Abfrage_von_MS_Access_Database[[#Headers],[1992]])</f>
        <v>1992</v>
      </c>
      <c r="T2">
        <f>VALUE(Tabelle_Abfrage_von_MS_Access_Database[[#Headers],[1993]])</f>
        <v>1993</v>
      </c>
      <c r="U2">
        <f>VALUE(Tabelle_Abfrage_von_MS_Access_Database[[#Headers],[1994]])</f>
        <v>1994</v>
      </c>
      <c r="V2">
        <f>VALUE(Tabelle_Abfrage_von_MS_Access_Database[[#Headers],[1995]])</f>
        <v>1995</v>
      </c>
      <c r="W2">
        <f>VALUE(Tabelle_Abfrage_von_MS_Access_Database[[#Headers],[1996]])</f>
        <v>1996</v>
      </c>
      <c r="X2">
        <f>VALUE(Tabelle_Abfrage_von_MS_Access_Database[[#Headers],[1997]])</f>
        <v>1997</v>
      </c>
      <c r="Y2">
        <f>VALUE(Tabelle_Abfrage_von_MS_Access_Database[[#Headers],[1998]])</f>
        <v>1998</v>
      </c>
      <c r="Z2">
        <f>VALUE(Tabelle_Abfrage_von_MS_Access_Database[[#Headers],[1999]])</f>
        <v>1999</v>
      </c>
      <c r="AA2">
        <f>VALUE(Tabelle_Abfrage_von_MS_Access_Database[[#Headers],[2000]])</f>
        <v>2000</v>
      </c>
      <c r="AB2">
        <f>VALUE(Tabelle_Abfrage_von_MS_Access_Database[[#Headers],[2001]])</f>
        <v>2001</v>
      </c>
      <c r="AC2">
        <f>VALUE(Tabelle_Abfrage_von_MS_Access_Database[[#Headers],[2002]])</f>
        <v>2002</v>
      </c>
      <c r="AD2">
        <f>VALUE(Tabelle_Abfrage_von_MS_Access_Database[[#Headers],[2003]])</f>
        <v>2003</v>
      </c>
      <c r="AE2">
        <f>VALUE(Tabelle_Abfrage_von_MS_Access_Database[[#Headers],[2004]])</f>
        <v>2004</v>
      </c>
      <c r="AF2">
        <f>VALUE(Tabelle_Abfrage_von_MS_Access_Database[[#Headers],[2005]])</f>
        <v>2005</v>
      </c>
      <c r="AG2">
        <f>VALUE(Tabelle_Abfrage_von_MS_Access_Database[[#Headers],[2006]])</f>
        <v>2006</v>
      </c>
      <c r="AH2">
        <f>VALUE(Tabelle_Abfrage_von_MS_Access_Database[[#Headers],[2007]])</f>
        <v>2007</v>
      </c>
      <c r="AI2">
        <f>VALUE(Tabelle_Abfrage_von_MS_Access_Database[[#Headers],[2008]])</f>
        <v>2008</v>
      </c>
      <c r="AJ2">
        <f>VALUE(Tabelle_Abfrage_von_MS_Access_Database[[#Headers],[2009]])</f>
        <v>2009</v>
      </c>
      <c r="AK2">
        <f>VALUE(Tabelle_Abfrage_von_MS_Access_Database[[#Headers],[2010]])</f>
        <v>2010</v>
      </c>
      <c r="AL2">
        <f>VALUE(Tabelle_Abfrage_von_MS_Access_Database[[#Headers],[2011]])</f>
        <v>2011</v>
      </c>
      <c r="AM2">
        <f>VALUE(Tabelle_Abfrage_von_MS_Access_Database[[#Headers],[2012]])</f>
        <v>2012</v>
      </c>
      <c r="AN2">
        <f>VALUE(Tabelle_Abfrage_von_MS_Access_Database[[#Headers],[2013]])</f>
        <v>2013</v>
      </c>
      <c r="AO2">
        <f>VALUE(Tabelle_Abfrage_von_MS_Access_Database[[#Headers],[2014]])</f>
        <v>2014</v>
      </c>
      <c r="AP2">
        <f>VALUE(Tabelle_Abfrage_von_MS_Access_Database[[#Headers],[2015]])</f>
        <v>2015</v>
      </c>
      <c r="AQ2">
        <f>VALUE(Tabelle_Abfrage_von_MS_Access_Database[[#Headers],[2016]])</f>
        <v>2016</v>
      </c>
      <c r="AR2">
        <f>VALUE(Tabelle_Abfrage_von_MS_Access_Database[[#Headers],[2017]])</f>
        <v>2017</v>
      </c>
      <c r="AS2">
        <f>VALUE(Tabelle_Abfrage_von_MS_Access_Database[[#Headers],[2018]])</f>
        <v>2018</v>
      </c>
      <c r="AT2">
        <f>VALUE(Tabelle_Abfrage_von_MS_Access_Database[[#Headers],[2019]])</f>
        <v>2019</v>
      </c>
      <c r="AU2">
        <f>VALUE(Tabelle_Abfrage_von_MS_Access_Database[[#Headers],[2020]])</f>
        <v>2020</v>
      </c>
      <c r="AV2">
        <f>VALUE(Tabelle_Abfrage_von_MS_Access_Database[[#Headers],[2021]])</f>
        <v>2021</v>
      </c>
      <c r="AW2">
        <f>VALUE(Tabelle_Abfrage_von_MS_Access_Database[[#Headers],[2022]])</f>
        <v>2022</v>
      </c>
      <c r="AX2">
        <f>VALUE(Tabelle_Abfrage_von_MS_Access_Database[[#Headers],[2023]])</f>
        <v>2023</v>
      </c>
    </row>
    <row r="3" spans="1:50" x14ac:dyDescent="0.25">
      <c r="A3">
        <f>IF(VALUE(C3)=MAX(Max_Jahr),VLOOKUP(VALUE(C3)-1,Export_Basis_Jahr,2,FALSE),VLOOKUP(VALUE(C3),Export_Basis_Jahr,2,FALSE))</f>
        <v>4</v>
      </c>
      <c r="B3" s="10" t="str">
        <f t="shared" ref="B3" si="0">VLOOKUP(Außenhandelspartner,Export_Matrix,B1,FALSE)</f>
        <v>Deutschland</v>
      </c>
      <c r="C3" s="10" t="str">
        <f t="shared" ref="C3:D3" si="1">VLOOKUP(Außenhandelspartner,Export_Matrix,C1,FALSE)</f>
        <v>1978</v>
      </c>
      <c r="D3" s="10" t="str">
        <f t="shared" si="1"/>
        <v>9999</v>
      </c>
      <c r="E3" s="10">
        <f>VLOOKUP(Außenhandelspartner,Export_Matrix,E1,FALSE)/Einheit_Wert</f>
        <v>3725197</v>
      </c>
      <c r="F3" s="10">
        <f t="shared" ref="F3:AN3" si="2">VLOOKUP(Außenhandelspartner,Export_Matrix,F1,FALSE)/Einheit_Wert</f>
        <v>4540913</v>
      </c>
      <c r="G3" s="10">
        <f t="shared" si="2"/>
        <v>5069619</v>
      </c>
      <c r="H3" s="10">
        <f t="shared" si="2"/>
        <v>5328028</v>
      </c>
      <c r="I3" s="10">
        <f t="shared" si="2"/>
        <v>5687949</v>
      </c>
      <c r="J3" s="10">
        <f t="shared" si="2"/>
        <v>6202415</v>
      </c>
      <c r="K3" s="10">
        <f t="shared" si="2"/>
        <v>6769230</v>
      </c>
      <c r="L3" s="10">
        <f t="shared" si="2"/>
        <v>7748290</v>
      </c>
      <c r="M3" s="10">
        <f t="shared" si="2"/>
        <v>8149725</v>
      </c>
      <c r="N3" s="10">
        <f t="shared" si="2"/>
        <v>8667774</v>
      </c>
      <c r="O3" s="10">
        <f t="shared" si="2"/>
        <v>9755282</v>
      </c>
      <c r="P3" s="10">
        <f t="shared" si="2"/>
        <v>10768157</v>
      </c>
      <c r="Q3" s="10">
        <f t="shared" si="2"/>
        <v>12429707</v>
      </c>
      <c r="R3" s="10">
        <f t="shared" si="2"/>
        <v>13589659</v>
      </c>
      <c r="S3" s="10">
        <f t="shared" si="2"/>
        <v>14108379</v>
      </c>
      <c r="T3" s="10">
        <f t="shared" si="2"/>
        <v>13244669</v>
      </c>
      <c r="U3" s="10">
        <f t="shared" si="2"/>
        <v>14193565</v>
      </c>
      <c r="V3" s="10">
        <f t="shared" si="2"/>
        <v>16167819.887</v>
      </c>
      <c r="W3" s="10">
        <f t="shared" si="2"/>
        <v>16645118.116</v>
      </c>
      <c r="X3" s="10">
        <f t="shared" si="2"/>
        <v>18230312.333000001</v>
      </c>
      <c r="Y3" s="10">
        <f t="shared" si="2"/>
        <v>20243073.984000001</v>
      </c>
      <c r="Z3" s="10">
        <f t="shared" si="2"/>
        <v>21054807.054000001</v>
      </c>
      <c r="AA3" s="10">
        <f t="shared" si="2"/>
        <v>23244003.57</v>
      </c>
      <c r="AB3" s="10">
        <f t="shared" si="2"/>
        <v>24160020.311999999</v>
      </c>
      <c r="AC3" s="10">
        <f t="shared" si="2"/>
        <v>24779810.649999999</v>
      </c>
      <c r="AD3" s="10">
        <f t="shared" si="2"/>
        <v>25090500.368999999</v>
      </c>
      <c r="AE3" s="10">
        <f t="shared" si="2"/>
        <v>28951269.316</v>
      </c>
      <c r="AF3" s="10">
        <f t="shared" si="2"/>
        <v>30108216.609999999</v>
      </c>
      <c r="AG3" s="10">
        <f t="shared" si="2"/>
        <v>31475202.076000001</v>
      </c>
      <c r="AH3" s="10">
        <f t="shared" si="2"/>
        <v>34446478.248999998</v>
      </c>
      <c r="AI3" s="10">
        <f t="shared" si="2"/>
        <v>35009741.513999999</v>
      </c>
      <c r="AJ3" s="10">
        <f t="shared" si="2"/>
        <v>29179081.971000001</v>
      </c>
      <c r="AK3" s="10">
        <f t="shared" si="2"/>
        <v>34529550.237999998</v>
      </c>
      <c r="AL3" s="10">
        <f t="shared" si="2"/>
        <v>38041817.902999997</v>
      </c>
      <c r="AM3" s="10">
        <f t="shared" si="2"/>
        <v>37843019.420000002</v>
      </c>
      <c r="AN3" s="10">
        <f t="shared" si="2"/>
        <v>37873472.506999999</v>
      </c>
      <c r="AO3" s="10">
        <f t="shared" ref="AO3:AP3" si="3">VLOOKUP(Außenhandelspartner,Export_Matrix,AO1,FALSE)/Einheit_Wert</f>
        <v>38082065.568000004</v>
      </c>
      <c r="AP3" s="10">
        <f t="shared" si="3"/>
        <v>39476866.331</v>
      </c>
      <c r="AQ3" s="10">
        <f t="shared" ref="AQ3:AR3" si="4">VLOOKUP(Außenhandelspartner,Export_Matrix,AQ1,FALSE)/Einheit_Wert</f>
        <v>40054745.163999997</v>
      </c>
      <c r="AR3" s="10">
        <f t="shared" si="4"/>
        <v>42864301.982000001</v>
      </c>
      <c r="AS3" s="10">
        <f t="shared" ref="AS3:AT3" si="5">VLOOKUP(Außenhandelspartner,Export_Matrix,AS1,FALSE)/Einheit_Wert</f>
        <v>45235259.479000002</v>
      </c>
      <c r="AT3" s="10">
        <f t="shared" si="5"/>
        <v>45032957.678999998</v>
      </c>
      <c r="AU3" s="10">
        <f t="shared" ref="AU3:AV3" si="6">VLOOKUP(Außenhandelspartner,Export_Matrix,AU1,FALSE)/Einheit_Wert</f>
        <v>43430562.068999998</v>
      </c>
      <c r="AV3" s="10">
        <f t="shared" si="6"/>
        <v>49925358.895000003</v>
      </c>
      <c r="AW3" s="10">
        <f t="shared" ref="AW3:AX3" si="7">VLOOKUP(Außenhandelspartner,Export_Matrix,AW1,FALSE)/Einheit_Wert</f>
        <v>58012459.368000001</v>
      </c>
      <c r="AX3" s="10">
        <f t="shared" si="7"/>
        <v>58504110.906000003</v>
      </c>
    </row>
    <row r="4" spans="1:50" x14ac:dyDescent="0.25">
      <c r="A4">
        <f>VLOOKUP(IF(D3="9999",MAX(Max_Jahr),VALUE(D3)),Export_Basis_Jahr,2,FALSE)</f>
        <v>49</v>
      </c>
      <c r="B4" t="str">
        <f>VLOOKUP(IF(Texte!$A$1=2,"World","Welt"),Export_Matrix,B1,FALSE)</f>
        <v>Welt</v>
      </c>
      <c r="C4" t="str">
        <f>VLOOKUP(IF(Texte!$A$1=2,"World","Welt"),Export_Matrix,C1,FALSE)</f>
        <v>1978</v>
      </c>
      <c r="D4" t="str">
        <f>VLOOKUP(IF(Texte!$A$1=2,"World","Welt"),Export_Matrix,D1,FALSE)</f>
        <v>9999</v>
      </c>
      <c r="E4">
        <f>VLOOKUP(IF(Texte!$A$1=2,"World","Welt"),Export_Matrix,E1,FALSE)/Einheit_Wert</f>
        <v>12796473</v>
      </c>
      <c r="F4">
        <f>VLOOKUP(IF(Texte!$A$1=2,"World","Welt"),Export_Matrix,F1,FALSE)/Einheit_Wert</f>
        <v>14988960</v>
      </c>
      <c r="G4">
        <f>VLOOKUP(IF(Texte!$A$1=2,"World","Welt"),Export_Matrix,G1,FALSE)/Einheit_Wert</f>
        <v>16436328</v>
      </c>
      <c r="H4">
        <f>VLOOKUP(IF(Texte!$A$1=2,"World","Welt"),Export_Matrix,H1,FALSE)/Einheit_Wert</f>
        <v>18296758</v>
      </c>
      <c r="I4">
        <f>VLOOKUP(IF(Texte!$A$1=2,"World","Welt"),Export_Matrix,I1,FALSE)/Einheit_Wert</f>
        <v>19393505</v>
      </c>
      <c r="J4">
        <f>VLOOKUP(IF(Texte!$A$1=2,"World","Welt"),Export_Matrix,J1,FALSE)/Einheit_Wert</f>
        <v>20140508</v>
      </c>
      <c r="K4">
        <f>VLOOKUP(IF(Texte!$A$1=2,"World","Welt"),Export_Matrix,K1,FALSE)/Einheit_Wert</f>
        <v>22855932</v>
      </c>
      <c r="L4">
        <f>VLOOKUP(IF(Texte!$A$1=2,"World","Welt"),Export_Matrix,L1,FALSE)/Einheit_Wert</f>
        <v>25723458</v>
      </c>
      <c r="M4">
        <f>VLOOKUP(IF(Texte!$A$1=2,"World","Welt"),Export_Matrix,M1,FALSE)/Einheit_Wert</f>
        <v>24888900</v>
      </c>
      <c r="N4">
        <f>VLOOKUP(IF(Texte!$A$1=2,"World","Welt"),Export_Matrix,N1,FALSE)/Einheit_Wert</f>
        <v>24885604</v>
      </c>
      <c r="O4">
        <f>VLOOKUP(IF(Texte!$A$1=2,"World","Welt"),Export_Matrix,O1,FALSE)/Einheit_Wert</f>
        <v>27849139</v>
      </c>
      <c r="P4">
        <f>VLOOKUP(IF(Texte!$A$1=2,"World","Welt"),Export_Matrix,P1,FALSE)/Einheit_Wert</f>
        <v>31199142</v>
      </c>
      <c r="Q4">
        <f>VLOOKUP(IF(Texte!$A$1=2,"World","Welt"),Export_Matrix,Q1,FALSE)/Einheit_Wert</f>
        <v>33870391</v>
      </c>
      <c r="R4">
        <f>VLOOKUP(IF(Texte!$A$1=2,"World","Welt"),Export_Matrix,R1,FALSE)/Einheit_Wert</f>
        <v>34812406</v>
      </c>
      <c r="S4">
        <f>VLOOKUP(IF(Texte!$A$1=2,"World","Welt"),Export_Matrix,S1,FALSE)/Einheit_Wert</f>
        <v>35432101</v>
      </c>
      <c r="T4">
        <f>VLOOKUP(IF(Texte!$A$1=2,"World","Welt"),Export_Matrix,T1,FALSE)/Einheit_Wert</f>
        <v>33950632</v>
      </c>
      <c r="U4">
        <f>VLOOKUP(IF(Texte!$A$1=2,"World","Welt"),Export_Matrix,U1,FALSE)/Einheit_Wert</f>
        <v>37245934</v>
      </c>
      <c r="V4">
        <f>VLOOKUP(IF(Texte!$A$1=2,"World","Welt"),Export_Matrix,V1,FALSE)/Einheit_Wert</f>
        <v>42151280.096000001</v>
      </c>
      <c r="W4">
        <f>VLOOKUP(IF(Texte!$A$1=2,"World","Welt"),Export_Matrix,W1,FALSE)/Einheit_Wert</f>
        <v>44489565.005000003</v>
      </c>
      <c r="X4">
        <f>VLOOKUP(IF(Texte!$A$1=2,"World","Welt"),Export_Matrix,X1,FALSE)/Einheit_Wert</f>
        <v>51962252.781000003</v>
      </c>
      <c r="Y4">
        <f>VLOOKUP(IF(Texte!$A$1=2,"World","Welt"),Export_Matrix,Y1,FALSE)/Einheit_Wert</f>
        <v>56302402.523999996</v>
      </c>
      <c r="Z4">
        <f>VLOOKUP(IF(Texte!$A$1=2,"World","Welt"),Export_Matrix,Z1,FALSE)/Einheit_Wert</f>
        <v>60265873.236000001</v>
      </c>
      <c r="AA4">
        <f>VLOOKUP(IF(Texte!$A$1=2,"World","Welt"),Export_Matrix,AA1,FALSE)/Einheit_Wert</f>
        <v>69692301.916999996</v>
      </c>
      <c r="AB4">
        <f>VLOOKUP(IF(Texte!$A$1=2,"World","Welt"),Export_Matrix,AB1,FALSE)/Einheit_Wert</f>
        <v>74251462.706</v>
      </c>
      <c r="AC4">
        <f>VLOOKUP(IF(Texte!$A$1=2,"World","Welt"),Export_Matrix,AC1,FALSE)/Einheit_Wert</f>
        <v>77400404.939999998</v>
      </c>
      <c r="AD4">
        <f>VLOOKUP(IF(Texte!$A$1=2,"World","Welt"),Export_Matrix,AD1,FALSE)/Einheit_Wert</f>
        <v>78902594.498999998</v>
      </c>
      <c r="AE4">
        <f>VLOOKUP(IF(Texte!$A$1=2,"World","Welt"),Export_Matrix,AE1,FALSE)/Einheit_Wert</f>
        <v>89847712.088</v>
      </c>
      <c r="AF4">
        <f>VLOOKUP(IF(Texte!$A$1=2,"World","Welt"),Export_Matrix,AF1,FALSE)/Einheit_Wert</f>
        <v>94705447.310000002</v>
      </c>
      <c r="AG4">
        <f>VLOOKUP(IF(Texte!$A$1=2,"World","Welt"),Export_Matrix,AG1,FALSE)/Einheit_Wert</f>
        <v>103741778.18099999</v>
      </c>
      <c r="AH4">
        <f>VLOOKUP(IF(Texte!$A$1=2,"World","Welt"),Export_Matrix,AH1,FALSE)/Einheit_Wert</f>
        <v>114680332.611</v>
      </c>
      <c r="AI4">
        <f>VLOOKUP(IF(Texte!$A$1=2,"World","Welt"),Export_Matrix,AI1,FALSE)/Einheit_Wert</f>
        <v>117525346.862</v>
      </c>
      <c r="AJ4">
        <f>VLOOKUP(IF(Texte!$A$1=2,"World","Welt"),Export_Matrix,AJ1,FALSE)/Einheit_Wert</f>
        <v>93739239.651999995</v>
      </c>
      <c r="AK4">
        <f>VLOOKUP(IF(Texte!$A$1=2,"World","Welt"),Export_Matrix,AK1,FALSE)/Einheit_Wert</f>
        <v>109372708.483</v>
      </c>
      <c r="AL4">
        <f>VLOOKUP(IF(Texte!$A$1=2,"World","Welt"),Export_Matrix,AL1,FALSE)/Einheit_Wert</f>
        <v>121773598.939</v>
      </c>
      <c r="AM4">
        <f>VLOOKUP(IF(Texte!$A$1=2,"World","Welt"),Export_Matrix,AM1,FALSE)/Einheit_Wert</f>
        <v>123543527.30400001</v>
      </c>
      <c r="AN4">
        <f>VLOOKUP(IF(Texte!$A$1=2,"World","Welt"),Export_Matrix,AN1,FALSE)/Einheit_Wert</f>
        <v>125811587.73100001</v>
      </c>
      <c r="AO4">
        <f>VLOOKUP(IF(Texte!$A$1=2,"World","Welt"),Export_Matrix,AO1,FALSE)/Einheit_Wert</f>
        <v>128106029.51199999</v>
      </c>
      <c r="AP4">
        <f>VLOOKUP(IF(Texte!$A$1=2,"World","Welt"),Export_Matrix,AP1,FALSE)/Einheit_Wert</f>
        <v>131538381.465</v>
      </c>
      <c r="AQ4">
        <f>VLOOKUP(IF(Texte!$A$1=2,"World","Welt"),Export_Matrix,AQ1,FALSE)/Einheit_Wert</f>
        <v>131125204.726</v>
      </c>
      <c r="AR4">
        <f>VLOOKUP(IF(Texte!$A$1=2,"World","Welt"),Export_Matrix,AR1,FALSE)/Einheit_Wert</f>
        <v>141939696.06600001</v>
      </c>
      <c r="AS4">
        <f>VLOOKUP(IF(Texte!$A$1=2,"World","Welt"),Export_Matrix,AS1,FALSE)/Einheit_Wert</f>
        <v>150070983.58700001</v>
      </c>
      <c r="AT4">
        <f>VLOOKUP(IF(Texte!$A$1=2,"World","Welt"),Export_Matrix,AT1,FALSE)/Einheit_Wert</f>
        <v>153501641.77599999</v>
      </c>
      <c r="AU4">
        <f>VLOOKUP(IF(Texte!$A$1=2,"World","Welt"),Export_Matrix,AU1,FALSE)/Einheit_Wert</f>
        <v>142566443.95699999</v>
      </c>
      <c r="AV4">
        <f>VLOOKUP(IF(Texte!$A$1=2,"World","Welt"),Export_Matrix,AV1,FALSE)/Einheit_Wert</f>
        <v>165585820.155</v>
      </c>
      <c r="AW4">
        <f>VLOOKUP(IF(Texte!$A$1=2,"World","Welt"),Export_Matrix,AW1,FALSE)/Einheit_Wert</f>
        <v>194679484.264</v>
      </c>
      <c r="AX4">
        <f>VLOOKUP(IF(Texte!$A$1=2,"World","Welt"),Export_Matrix,AX1,FALSE)/Einheit_Wert</f>
        <v>200546990.928</v>
      </c>
    </row>
    <row r="6" spans="1:50" x14ac:dyDescent="0.25">
      <c r="B6" t="str">
        <f>B3</f>
        <v>Deutschland</v>
      </c>
      <c r="E6" s="19">
        <f>E3</f>
        <v>3725197</v>
      </c>
      <c r="F6" s="19">
        <f t="shared" ref="F6:AN6" si="8">F3</f>
        <v>4540913</v>
      </c>
      <c r="G6" s="19">
        <f t="shared" si="8"/>
        <v>5069619</v>
      </c>
      <c r="H6" s="19">
        <f t="shared" si="8"/>
        <v>5328028</v>
      </c>
      <c r="I6" s="19">
        <f t="shared" si="8"/>
        <v>5687949</v>
      </c>
      <c r="J6" s="19">
        <f t="shared" si="8"/>
        <v>6202415</v>
      </c>
      <c r="K6" s="19">
        <f t="shared" si="8"/>
        <v>6769230</v>
      </c>
      <c r="L6" s="19">
        <f t="shared" si="8"/>
        <v>7748290</v>
      </c>
      <c r="M6" s="19">
        <f t="shared" si="8"/>
        <v>8149725</v>
      </c>
      <c r="N6" s="19">
        <f t="shared" si="8"/>
        <v>8667774</v>
      </c>
      <c r="O6" s="19">
        <f t="shared" si="8"/>
        <v>9755282</v>
      </c>
      <c r="P6" s="19">
        <f t="shared" si="8"/>
        <v>10768157</v>
      </c>
      <c r="Q6" s="19">
        <f t="shared" si="8"/>
        <v>12429707</v>
      </c>
      <c r="R6" s="19">
        <f t="shared" si="8"/>
        <v>13589659</v>
      </c>
      <c r="S6" s="19">
        <f t="shared" si="8"/>
        <v>14108379</v>
      </c>
      <c r="T6" s="19">
        <f t="shared" si="8"/>
        <v>13244669</v>
      </c>
      <c r="U6" s="19">
        <f t="shared" si="8"/>
        <v>14193565</v>
      </c>
      <c r="V6" s="19">
        <f t="shared" si="8"/>
        <v>16167819.887</v>
      </c>
      <c r="W6" s="19">
        <f t="shared" si="8"/>
        <v>16645118.116</v>
      </c>
      <c r="X6" s="19">
        <f t="shared" si="8"/>
        <v>18230312.333000001</v>
      </c>
      <c r="Y6" s="19">
        <f t="shared" si="8"/>
        <v>20243073.984000001</v>
      </c>
      <c r="Z6" s="19">
        <f t="shared" si="8"/>
        <v>21054807.054000001</v>
      </c>
      <c r="AA6" s="19">
        <f t="shared" si="8"/>
        <v>23244003.57</v>
      </c>
      <c r="AB6" s="19">
        <f t="shared" si="8"/>
        <v>24160020.311999999</v>
      </c>
      <c r="AC6" s="19">
        <f t="shared" si="8"/>
        <v>24779810.649999999</v>
      </c>
      <c r="AD6" s="19">
        <f t="shared" si="8"/>
        <v>25090500.368999999</v>
      </c>
      <c r="AE6" s="19">
        <f t="shared" si="8"/>
        <v>28951269.316</v>
      </c>
      <c r="AF6" s="19">
        <f t="shared" si="8"/>
        <v>30108216.609999999</v>
      </c>
      <c r="AG6" s="19">
        <f t="shared" si="8"/>
        <v>31475202.076000001</v>
      </c>
      <c r="AH6" s="19">
        <f t="shared" si="8"/>
        <v>34446478.248999998</v>
      </c>
      <c r="AI6" s="19">
        <f t="shared" si="8"/>
        <v>35009741.513999999</v>
      </c>
      <c r="AJ6" s="19">
        <f t="shared" si="8"/>
        <v>29179081.971000001</v>
      </c>
      <c r="AK6" s="19">
        <f t="shared" si="8"/>
        <v>34529550.237999998</v>
      </c>
      <c r="AL6" s="19">
        <f t="shared" si="8"/>
        <v>38041817.902999997</v>
      </c>
      <c r="AM6" s="19">
        <f t="shared" si="8"/>
        <v>37843019.420000002</v>
      </c>
      <c r="AN6" s="19">
        <f t="shared" si="8"/>
        <v>37873472.506999999</v>
      </c>
      <c r="AO6" s="19">
        <f t="shared" ref="AO6:AP6" si="9">AO3</f>
        <v>38082065.568000004</v>
      </c>
      <c r="AP6" s="19">
        <f t="shared" si="9"/>
        <v>39476866.331</v>
      </c>
      <c r="AQ6" s="19">
        <f t="shared" ref="AQ6:AR6" si="10">AQ3</f>
        <v>40054745.163999997</v>
      </c>
      <c r="AR6" s="19">
        <f t="shared" si="10"/>
        <v>42864301.982000001</v>
      </c>
      <c r="AS6" s="19">
        <f t="shared" ref="AS6:AT6" si="11">AS3</f>
        <v>45235259.479000002</v>
      </c>
      <c r="AT6" s="19">
        <f t="shared" si="11"/>
        <v>45032957.678999998</v>
      </c>
      <c r="AU6" s="19">
        <f t="shared" ref="AU6:AV6" si="12">AU3</f>
        <v>43430562.068999998</v>
      </c>
      <c r="AV6" s="19">
        <f t="shared" si="12"/>
        <v>49925358.895000003</v>
      </c>
      <c r="AW6" s="19">
        <f t="shared" ref="AW6:AX6" si="13">AW3</f>
        <v>58012459.368000001</v>
      </c>
      <c r="AX6" s="19">
        <f t="shared" si="13"/>
        <v>58504110.906000003</v>
      </c>
    </row>
    <row r="7" spans="1:50" x14ac:dyDescent="0.25">
      <c r="A7" t="s">
        <v>552</v>
      </c>
      <c r="B7" t="str">
        <f>Außenhandelspartner</f>
        <v>Deutschland</v>
      </c>
      <c r="F7" s="1">
        <f t="shared" ref="F7:AO7" si="14">(F6*100/E6)-100</f>
        <v>21.897258051050727</v>
      </c>
      <c r="G7" s="1">
        <f t="shared" si="14"/>
        <v>11.643165152029994</v>
      </c>
      <c r="H7" s="1">
        <f t="shared" si="14"/>
        <v>5.0972075021811349</v>
      </c>
      <c r="I7" s="1">
        <f t="shared" si="14"/>
        <v>6.7552385235212711</v>
      </c>
      <c r="J7" s="1">
        <f t="shared" si="14"/>
        <v>9.0448419984075059</v>
      </c>
      <c r="K7" s="1">
        <f t="shared" si="14"/>
        <v>9.1386177803323392</v>
      </c>
      <c r="L7" s="1">
        <f t="shared" si="14"/>
        <v>14.463388007203179</v>
      </c>
      <c r="M7" s="1">
        <f t="shared" si="14"/>
        <v>5.1809496030737137</v>
      </c>
      <c r="N7" s="1">
        <f t="shared" si="14"/>
        <v>6.3566439358383207</v>
      </c>
      <c r="O7" s="1">
        <f t="shared" si="14"/>
        <v>12.546566165661446</v>
      </c>
      <c r="P7" s="1">
        <f t="shared" si="14"/>
        <v>10.382836703234204</v>
      </c>
      <c r="Q7" s="1">
        <f t="shared" si="14"/>
        <v>15.430217074286716</v>
      </c>
      <c r="R7" s="1">
        <f t="shared" si="14"/>
        <v>9.3320944733451938</v>
      </c>
      <c r="S7" s="1">
        <f t="shared" si="14"/>
        <v>3.8170199855640163</v>
      </c>
      <c r="T7" s="1">
        <f t="shared" si="14"/>
        <v>-6.121964826717516</v>
      </c>
      <c r="U7" s="1">
        <f t="shared" si="14"/>
        <v>7.1643617518867444</v>
      </c>
      <c r="V7" s="1">
        <f t="shared" si="14"/>
        <v>13.909506787054553</v>
      </c>
      <c r="W7" s="1">
        <f t="shared" si="14"/>
        <v>2.9521495930554096</v>
      </c>
      <c r="X7" s="1">
        <f t="shared" si="14"/>
        <v>9.5234783313207174</v>
      </c>
      <c r="Y7" s="1">
        <f t="shared" si="14"/>
        <v>11.040741454311544</v>
      </c>
      <c r="Z7" s="1">
        <f t="shared" si="14"/>
        <v>4.0099298685643703</v>
      </c>
      <c r="AA7" s="1">
        <f t="shared" si="14"/>
        <v>10.397609013396746</v>
      </c>
      <c r="AB7" s="1">
        <f t="shared" si="14"/>
        <v>3.9408733492979593</v>
      </c>
      <c r="AC7" s="1">
        <f t="shared" si="14"/>
        <v>2.5653552025043496</v>
      </c>
      <c r="AD7" s="1">
        <f t="shared" si="14"/>
        <v>1.2538018283848515</v>
      </c>
      <c r="AE7" s="1">
        <f t="shared" si="14"/>
        <v>15.387373269646247</v>
      </c>
      <c r="AF7" s="1">
        <f t="shared" si="14"/>
        <v>3.9961884965113086</v>
      </c>
      <c r="AG7" s="1">
        <f t="shared" si="14"/>
        <v>4.5402405718908483</v>
      </c>
      <c r="AH7" s="1">
        <f t="shared" si="14"/>
        <v>9.4400543190336066</v>
      </c>
      <c r="AI7" s="1">
        <f t="shared" si="14"/>
        <v>1.6351838958060938</v>
      </c>
      <c r="AJ7" s="1">
        <f t="shared" si="14"/>
        <v>-16.65439186595647</v>
      </c>
      <c r="AK7" s="1">
        <f t="shared" si="14"/>
        <v>18.336657309224563</v>
      </c>
      <c r="AL7" s="1">
        <f t="shared" si="14"/>
        <v>10.171773570148403</v>
      </c>
      <c r="AM7" s="1">
        <f t="shared" si="14"/>
        <v>-0.52257881972649045</v>
      </c>
      <c r="AN7" s="1">
        <f t="shared" si="14"/>
        <v>8.0472138499345647E-2</v>
      </c>
      <c r="AO7" s="1">
        <f t="shared" si="14"/>
        <v>0.55076296730237573</v>
      </c>
      <c r="AP7" s="1">
        <f t="shared" ref="AP7:AX7" si="15">(AP6*100/AO6)-100</f>
        <v>3.662618458837045</v>
      </c>
      <c r="AQ7" s="1">
        <f t="shared" ref="AQ7:AW7" si="16">(AQ6*100/AP6)-100</f>
        <v>1.463841704543313</v>
      </c>
      <c r="AR7" s="1">
        <f t="shared" si="15"/>
        <v>7.0142920807424076</v>
      </c>
      <c r="AS7" s="1">
        <f t="shared" si="16"/>
        <v>5.5313101750627851</v>
      </c>
      <c r="AT7" s="1">
        <f t="shared" si="15"/>
        <v>-0.44722148680040164</v>
      </c>
      <c r="AU7" s="1">
        <f t="shared" si="16"/>
        <v>-3.5582730795122473</v>
      </c>
      <c r="AV7" s="1">
        <f t="shared" si="15"/>
        <v>14.954438802061645</v>
      </c>
      <c r="AW7" s="1">
        <f t="shared" si="16"/>
        <v>16.198382249005562</v>
      </c>
      <c r="AX7" s="1">
        <f t="shared" si="15"/>
        <v>0.84749300987435561</v>
      </c>
    </row>
    <row r="8" spans="1:50" x14ac:dyDescent="0.25">
      <c r="A8" t="str">
        <f>Außenhandelspartner</f>
        <v>Deutschland</v>
      </c>
      <c r="B8">
        <f>VLOOKUP(Außenhandelspartner,Export_Matrix,VLOOKUP(Basis_Jahr,Export_Basis_Jahr,2,FALSE),FALSE)/Einheit_Wert</f>
        <v>58504110.906000003</v>
      </c>
      <c r="E8">
        <f>IF($B$8=0,0.01,E3/$B$8*100)</f>
        <v>6.3674106696286108</v>
      </c>
      <c r="F8">
        <f t="shared" ref="F8:AN8" si="17">IF($B$8=0,0.01,F3/$B$8*100)</f>
        <v>7.7616990151273244</v>
      </c>
      <c r="G8">
        <f t="shared" si="17"/>
        <v>8.6654064500620862</v>
      </c>
      <c r="H8">
        <f t="shared" si="17"/>
        <v>9.107100197729137</v>
      </c>
      <c r="I8">
        <f t="shared" si="17"/>
        <v>9.7223065386618188</v>
      </c>
      <c r="J8">
        <f t="shared" si="17"/>
        <v>10.601673803684623</v>
      </c>
      <c r="K8">
        <f t="shared" si="17"/>
        <v>11.57052025092098</v>
      </c>
      <c r="L8">
        <f t="shared" si="17"/>
        <v>13.2440094892637</v>
      </c>
      <c r="M8">
        <f t="shared" si="17"/>
        <v>13.930174946328751</v>
      </c>
      <c r="N8">
        <f t="shared" si="17"/>
        <v>14.815666567306229</v>
      </c>
      <c r="O8">
        <f t="shared" si="17"/>
        <v>16.674523976057088</v>
      </c>
      <c r="P8">
        <f t="shared" si="17"/>
        <v>18.405812571532731</v>
      </c>
      <c r="Q8">
        <f t="shared" si="17"/>
        <v>21.245869405606584</v>
      </c>
      <c r="R8">
        <f t="shared" si="17"/>
        <v>23.228554010221334</v>
      </c>
      <c r="S8">
        <f t="shared" si="17"/>
        <v>24.115192559149015</v>
      </c>
      <c r="T8">
        <f t="shared" si="17"/>
        <v>22.638868952782712</v>
      </c>
      <c r="U8">
        <f t="shared" si="17"/>
        <v>24.260799421095641</v>
      </c>
      <c r="V8">
        <f t="shared" si="17"/>
        <v>27.635356963166629</v>
      </c>
      <c r="W8">
        <f t="shared" si="17"/>
        <v>28.451194041294158</v>
      </c>
      <c r="X8">
        <f t="shared" si="17"/>
        <v>31.160737340818823</v>
      </c>
      <c r="Y8">
        <f t="shared" si="17"/>
        <v>34.601113785875739</v>
      </c>
      <c r="Z8">
        <f t="shared" si="17"/>
        <v>35.98859418243152</v>
      </c>
      <c r="AA8">
        <f t="shared" si="17"/>
        <v>39.730547494938797</v>
      </c>
      <c r="AB8">
        <f t="shared" si="17"/>
        <v>41.296278052697012</v>
      </c>
      <c r="AC8">
        <f t="shared" si="17"/>
        <v>42.355674270162538</v>
      </c>
      <c r="AD8">
        <f t="shared" si="17"/>
        <v>42.886730488586558</v>
      </c>
      <c r="AE8">
        <f t="shared" si="17"/>
        <v>49.48587179201256</v>
      </c>
      <c r="AF8">
        <f t="shared" si="17"/>
        <v>51.463420507963299</v>
      </c>
      <c r="AG8">
        <f t="shared" si="17"/>
        <v>53.799983605548654</v>
      </c>
      <c r="AH8">
        <f t="shared" si="17"/>
        <v>58.878731281543629</v>
      </c>
      <c r="AI8">
        <f t="shared" si="17"/>
        <v>59.841506813514378</v>
      </c>
      <c r="AJ8">
        <f t="shared" si="17"/>
        <v>49.875267770298656</v>
      </c>
      <c r="AK8">
        <f t="shared" si="17"/>
        <v>59.020724703396446</v>
      </c>
      <c r="AL8">
        <f t="shared" si="17"/>
        <v>65.02417917968657</v>
      </c>
      <c r="AM8">
        <f t="shared" si="17"/>
        <v>64.684376591592539</v>
      </c>
      <c r="AN8">
        <f t="shared" si="17"/>
        <v>64.736429492710755</v>
      </c>
      <c r="AO8">
        <f t="shared" ref="AO8:AP8" si="18">IF($B$8=0,0.01,AO3/$B$8*100)</f>
        <v>65.092973772710423</v>
      </c>
      <c r="AP8">
        <f t="shared" si="18"/>
        <v>67.477081045515689</v>
      </c>
      <c r="AQ8">
        <f t="shared" ref="AQ8:AR8" si="19">IF($B$8=0,0.01,AQ3/$B$8*100)</f>
        <v>68.464838698868434</v>
      </c>
      <c r="AR8">
        <f t="shared" si="19"/>
        <v>73.267162457816227</v>
      </c>
      <c r="AS8">
        <f t="shared" ref="AS8:AT8" si="20">IF($B$8=0,0.01,AS3/$B$8*100)</f>
        <v>77.319796469825192</v>
      </c>
      <c r="AT8">
        <f t="shared" si="20"/>
        <v>76.974005726461797</v>
      </c>
      <c r="AU8">
        <f t="shared" ref="AU8:AV8" si="21">IF($B$8=0,0.01,AU3/$B$8*100)</f>
        <v>74.235060402474886</v>
      </c>
      <c r="AV8">
        <f t="shared" si="21"/>
        <v>85.336497080036494</v>
      </c>
      <c r="AW8">
        <f t="shared" ref="AW8:AX8" si="22">IF($B$8=0,0.01,AW3/$B$8*100)</f>
        <v>99.159629074972273</v>
      </c>
      <c r="AX8">
        <f t="shared" si="22"/>
        <v>100</v>
      </c>
    </row>
    <row r="9" spans="1:50" x14ac:dyDescent="0.25">
      <c r="A9" t="str">
        <f>IF(Texte!A1=2,"World without "&amp; Außenhandelspartner,"Welt ohne " &amp; Außenhandelspartner)</f>
        <v>Welt ohne Deutschland</v>
      </c>
      <c r="B9">
        <f>(VLOOKUP(IF(Texte!A1=2,"World","Welt"),Export_Matrix,VLOOKUP(Basis_Jahr,Export_Basis_Jahr,2,FALSE),FALSE)/Einheit_Wert)-B8</f>
        <v>142042880.02200001</v>
      </c>
      <c r="E9">
        <f>(E4-E3)/$B$9*100</f>
        <v>6.3862940533133479</v>
      </c>
      <c r="F9">
        <f t="shared" ref="F9:AM9" si="23">(F4-F3)/$B$9*100</f>
        <v>7.3555584048857465</v>
      </c>
      <c r="G9">
        <f t="shared" si="23"/>
        <v>8.0023081749958127</v>
      </c>
      <c r="H9">
        <f t="shared" si="23"/>
        <v>9.1301514007540305</v>
      </c>
      <c r="I9">
        <f t="shared" si="23"/>
        <v>9.6488863066401098</v>
      </c>
      <c r="J9">
        <f t="shared" si="23"/>
        <v>9.8125953218079118</v>
      </c>
      <c r="K9">
        <f t="shared" si="23"/>
        <v>11.325243474018864</v>
      </c>
      <c r="L9">
        <f t="shared" si="23"/>
        <v>12.654747634809963</v>
      </c>
      <c r="M9">
        <f t="shared" si="23"/>
        <v>11.784592791562229</v>
      </c>
      <c r="N9">
        <f t="shared" si="23"/>
        <v>11.417559259209709</v>
      </c>
      <c r="O9">
        <f t="shared" si="23"/>
        <v>12.738306205279398</v>
      </c>
      <c r="P9">
        <f t="shared" si="23"/>
        <v>14.383674138989289</v>
      </c>
      <c r="Q9">
        <f t="shared" si="23"/>
        <v>15.094515118729785</v>
      </c>
      <c r="R9">
        <f t="shared" si="23"/>
        <v>14.941084689857709</v>
      </c>
      <c r="S9">
        <f t="shared" si="23"/>
        <v>15.012172378296833</v>
      </c>
      <c r="T9">
        <f t="shared" si="23"/>
        <v>14.577262159703464</v>
      </c>
      <c r="U9">
        <f t="shared" si="23"/>
        <v>16.229161923800461</v>
      </c>
      <c r="V9">
        <f t="shared" si="23"/>
        <v>18.292687535605872</v>
      </c>
      <c r="W9">
        <f t="shared" si="23"/>
        <v>19.602845904481363</v>
      </c>
      <c r="X9">
        <f t="shared" si="23"/>
        <v>23.747716494325864</v>
      </c>
      <c r="Y9">
        <f t="shared" si="23"/>
        <v>25.386227408522704</v>
      </c>
      <c r="Z9">
        <f t="shared" si="23"/>
        <v>27.605090924604507</v>
      </c>
      <c r="AA9">
        <f t="shared" si="23"/>
        <v>32.70019471571257</v>
      </c>
      <c r="AB9">
        <f t="shared" si="23"/>
        <v>35.265014611250976</v>
      </c>
      <c r="AC9">
        <f t="shared" si="23"/>
        <v>37.045569817966211</v>
      </c>
      <c r="AD9">
        <f t="shared" si="23"/>
        <v>37.884400908842046</v>
      </c>
      <c r="AE9">
        <f t="shared" si="23"/>
        <v>42.871872748967199</v>
      </c>
      <c r="AF9">
        <f t="shared" si="23"/>
        <v>45.477274672264457</v>
      </c>
      <c r="AG9">
        <f t="shared" si="23"/>
        <v>50.876591698089435</v>
      </c>
      <c r="AH9">
        <f t="shared" si="23"/>
        <v>56.485657253340079</v>
      </c>
      <c r="AI9">
        <f t="shared" si="23"/>
        <v>58.092039062584298</v>
      </c>
      <c r="AJ9">
        <f t="shared" si="23"/>
        <v>45.451174793837417</v>
      </c>
      <c r="AK9">
        <f t="shared" si="23"/>
        <v>52.690538401789709</v>
      </c>
      <c r="AL9">
        <f t="shared" si="23"/>
        <v>58.9482422653155</v>
      </c>
      <c r="AM9">
        <f t="shared" si="23"/>
        <v>60.334251087225532</v>
      </c>
      <c r="AN9">
        <f t="shared" ref="AN9:AO9" si="24">(AN4-AN3)/$B$9*100</f>
        <v>61.90955520641365</v>
      </c>
      <c r="AO9">
        <f t="shared" si="24"/>
        <v>63.378019320684587</v>
      </c>
      <c r="AP9">
        <f t="shared" ref="AP9:AQ9" si="25">(AP4-AP3)/$B$9*100</f>
        <v>64.812481357559946</v>
      </c>
      <c r="AQ9">
        <f t="shared" si="25"/>
        <v>64.114765589021246</v>
      </c>
      <c r="AR9">
        <f t="shared" ref="AR9:AS9" si="26">(AR4-AR3)/$B$9*100</f>
        <v>69.750341635325142</v>
      </c>
      <c r="AS9">
        <f t="shared" si="26"/>
        <v>73.805687473925303</v>
      </c>
      <c r="AT9">
        <f t="shared" ref="AT9:AU9" si="27">(AT4-AT3)/$B$9*100</f>
        <v>76.363337662683307</v>
      </c>
      <c r="AU9">
        <f t="shared" si="27"/>
        <v>69.792925821164374</v>
      </c>
      <c r="AV9">
        <f t="shared" ref="AV9:AW9" si="28">(AV4-AV3)/$B$9*100</f>
        <v>81.426440552378381</v>
      </c>
      <c r="AW9">
        <f t="shared" si="28"/>
        <v>96.215329395484389</v>
      </c>
      <c r="AX9">
        <f t="shared" ref="AX9" si="29">(AX4-AX3)/$B$9*100</f>
        <v>100</v>
      </c>
    </row>
    <row r="11" spans="1:50" x14ac:dyDescent="0.25">
      <c r="A11" t="s">
        <v>544</v>
      </c>
      <c r="B11">
        <v>1</v>
      </c>
      <c r="C11">
        <v>2</v>
      </c>
      <c r="D11">
        <v>3</v>
      </c>
      <c r="E11">
        <v>4</v>
      </c>
      <c r="F11">
        <v>5</v>
      </c>
      <c r="G11">
        <v>6</v>
      </c>
      <c r="H11">
        <v>7</v>
      </c>
      <c r="I11">
        <v>8</v>
      </c>
      <c r="J11">
        <v>9</v>
      </c>
      <c r="K11">
        <v>10</v>
      </c>
      <c r="L11">
        <v>11</v>
      </c>
      <c r="M11">
        <v>12</v>
      </c>
      <c r="N11">
        <v>13</v>
      </c>
      <c r="O11">
        <v>14</v>
      </c>
      <c r="P11">
        <v>15</v>
      </c>
      <c r="Q11">
        <v>16</v>
      </c>
      <c r="R11">
        <v>17</v>
      </c>
      <c r="S11">
        <v>18</v>
      </c>
      <c r="T11">
        <v>19</v>
      </c>
      <c r="U11">
        <v>20</v>
      </c>
      <c r="V11">
        <v>21</v>
      </c>
      <c r="W11">
        <v>22</v>
      </c>
      <c r="X11">
        <v>23</v>
      </c>
      <c r="Y11">
        <v>24</v>
      </c>
      <c r="Z11">
        <v>25</v>
      </c>
      <c r="AA11">
        <v>26</v>
      </c>
      <c r="AB11">
        <v>27</v>
      </c>
      <c r="AC11">
        <v>28</v>
      </c>
      <c r="AD11">
        <v>29</v>
      </c>
      <c r="AE11">
        <v>30</v>
      </c>
      <c r="AF11">
        <v>31</v>
      </c>
      <c r="AG11">
        <v>32</v>
      </c>
      <c r="AH11">
        <v>33</v>
      </c>
      <c r="AI11">
        <v>34</v>
      </c>
      <c r="AJ11">
        <v>35</v>
      </c>
      <c r="AK11">
        <v>36</v>
      </c>
      <c r="AL11">
        <v>37</v>
      </c>
      <c r="AM11">
        <v>38</v>
      </c>
      <c r="AN11">
        <v>39</v>
      </c>
      <c r="AO11">
        <v>40</v>
      </c>
      <c r="AP11">
        <v>41</v>
      </c>
      <c r="AQ11">
        <v>42</v>
      </c>
      <c r="AR11">
        <v>43</v>
      </c>
      <c r="AS11">
        <v>44</v>
      </c>
      <c r="AT11">
        <v>45</v>
      </c>
      <c r="AU11">
        <v>46</v>
      </c>
      <c r="AV11">
        <v>47</v>
      </c>
      <c r="AW11">
        <v>48</v>
      </c>
      <c r="AX11">
        <v>49</v>
      </c>
    </row>
    <row r="12" spans="1:50" x14ac:dyDescent="0.25">
      <c r="E12">
        <f>VALUE(Tabelle_Abfrage_von_MS_Access_Database3[[#Headers],[1978]])</f>
        <v>1978</v>
      </c>
      <c r="F12">
        <f>VALUE(Tabelle_Abfrage_von_MS_Access_Database3[[#Headers],[1979]])</f>
        <v>1979</v>
      </c>
      <c r="G12">
        <f>VALUE(Tabelle_Abfrage_von_MS_Access_Database3[[#Headers],[1980]])</f>
        <v>1980</v>
      </c>
      <c r="H12">
        <f>VALUE(Tabelle_Abfrage_von_MS_Access_Database3[[#Headers],[1981]])</f>
        <v>1981</v>
      </c>
      <c r="I12">
        <f>VALUE(Tabelle_Abfrage_von_MS_Access_Database3[[#Headers],[1982]])</f>
        <v>1982</v>
      </c>
      <c r="J12">
        <f>VALUE(Tabelle_Abfrage_von_MS_Access_Database3[[#Headers],[1983]])</f>
        <v>1983</v>
      </c>
      <c r="K12">
        <f>VALUE(Tabelle_Abfrage_von_MS_Access_Database3[[#Headers],[1984]])</f>
        <v>1984</v>
      </c>
      <c r="L12">
        <f>VALUE(Tabelle_Abfrage_von_MS_Access_Database3[[#Headers],[1985]])</f>
        <v>1985</v>
      </c>
      <c r="M12">
        <f>VALUE(Tabelle_Abfrage_von_MS_Access_Database3[[#Headers],[1986]])</f>
        <v>1986</v>
      </c>
      <c r="N12">
        <f>VALUE(Tabelle_Abfrage_von_MS_Access_Database3[[#Headers],[1987]])</f>
        <v>1987</v>
      </c>
      <c r="O12">
        <f>VALUE(Tabelle_Abfrage_von_MS_Access_Database3[[#Headers],[1988]])</f>
        <v>1988</v>
      </c>
      <c r="P12">
        <f>VALUE(Tabelle_Abfrage_von_MS_Access_Database3[[#Headers],[1989]])</f>
        <v>1989</v>
      </c>
      <c r="Q12">
        <f>VALUE(Tabelle_Abfrage_von_MS_Access_Database3[[#Headers],[1990]])</f>
        <v>1990</v>
      </c>
      <c r="R12">
        <f>VALUE(Tabelle_Abfrage_von_MS_Access_Database3[[#Headers],[1991]])</f>
        <v>1991</v>
      </c>
      <c r="S12">
        <f>VALUE(Tabelle_Abfrage_von_MS_Access_Database3[[#Headers],[1992]])</f>
        <v>1992</v>
      </c>
      <c r="T12">
        <f>VALUE(Tabelle_Abfrage_von_MS_Access_Database3[[#Headers],[1993]])</f>
        <v>1993</v>
      </c>
      <c r="U12">
        <f>VALUE(Tabelle_Abfrage_von_MS_Access_Database3[[#Headers],[1994]])</f>
        <v>1994</v>
      </c>
      <c r="V12">
        <f>VALUE(Tabelle_Abfrage_von_MS_Access_Database3[[#Headers],[1995]])</f>
        <v>1995</v>
      </c>
      <c r="W12">
        <f>VALUE(Tabelle_Abfrage_von_MS_Access_Database3[[#Headers],[1996]])</f>
        <v>1996</v>
      </c>
      <c r="X12">
        <f>VALUE(Tabelle_Abfrage_von_MS_Access_Database3[[#Headers],[1997]])</f>
        <v>1997</v>
      </c>
      <c r="Y12">
        <f>VALUE(Tabelle_Abfrage_von_MS_Access_Database3[[#Headers],[1998]])</f>
        <v>1998</v>
      </c>
      <c r="Z12">
        <f>VALUE(Tabelle_Abfrage_von_MS_Access_Database3[[#Headers],[1999]])</f>
        <v>1999</v>
      </c>
      <c r="AA12">
        <f>VALUE(Tabelle_Abfrage_von_MS_Access_Database3[[#Headers],[2000]])</f>
        <v>2000</v>
      </c>
      <c r="AB12">
        <f>VALUE(Tabelle_Abfrage_von_MS_Access_Database3[[#Headers],[2001]])</f>
        <v>2001</v>
      </c>
      <c r="AC12">
        <f>VALUE(Tabelle_Abfrage_von_MS_Access_Database3[[#Headers],[2002]])</f>
        <v>2002</v>
      </c>
      <c r="AD12">
        <f>VALUE(Tabelle_Abfrage_von_MS_Access_Database3[[#Headers],[2003]])</f>
        <v>2003</v>
      </c>
      <c r="AE12">
        <f>VALUE(Tabelle_Abfrage_von_MS_Access_Database3[[#Headers],[2004]])</f>
        <v>2004</v>
      </c>
      <c r="AF12">
        <f>VALUE(Tabelle_Abfrage_von_MS_Access_Database3[[#Headers],[2005]])</f>
        <v>2005</v>
      </c>
      <c r="AG12">
        <f>VALUE(Tabelle_Abfrage_von_MS_Access_Database3[[#Headers],[2006]])</f>
        <v>2006</v>
      </c>
      <c r="AH12">
        <f>VALUE(Tabelle_Abfrage_von_MS_Access_Database3[[#Headers],[2007]])</f>
        <v>2007</v>
      </c>
      <c r="AI12">
        <f>VALUE(Tabelle_Abfrage_von_MS_Access_Database3[[#Headers],[2008]])</f>
        <v>2008</v>
      </c>
      <c r="AJ12">
        <f>VALUE(Tabelle_Abfrage_von_MS_Access_Database3[[#Headers],[2009]])</f>
        <v>2009</v>
      </c>
      <c r="AK12">
        <f>VALUE(Tabelle_Abfrage_von_MS_Access_Database3[[#Headers],[2010]])</f>
        <v>2010</v>
      </c>
      <c r="AL12">
        <f>VALUE(Tabelle_Abfrage_von_MS_Access_Database3[[#Headers],[2011]])</f>
        <v>2011</v>
      </c>
      <c r="AM12">
        <f>VALUE(Tabelle_Abfrage_von_MS_Access_Database3[[#Headers],[2012]])</f>
        <v>2012</v>
      </c>
      <c r="AN12">
        <f>VALUE(Tabelle_Abfrage_von_MS_Access_Database3[[#Headers],[2013]])</f>
        <v>2013</v>
      </c>
      <c r="AO12">
        <f>VALUE(Tabelle_Abfrage_von_MS_Access_Database3[[#Headers],[2014]])</f>
        <v>2014</v>
      </c>
      <c r="AP12">
        <f>VALUE(Tabelle_Abfrage_von_MS_Access_Database3[[#Headers],[2015]])</f>
        <v>2015</v>
      </c>
      <c r="AQ12">
        <f>VALUE(Tabelle_Abfrage_von_MS_Access_Database3[[#Headers],[2016]])</f>
        <v>2016</v>
      </c>
      <c r="AR12">
        <f>VALUE(Tabelle_Abfrage_von_MS_Access_Database3[[#Headers],[2017]])</f>
        <v>2017</v>
      </c>
      <c r="AS12">
        <f>VALUE(Tabelle_Abfrage_von_MS_Access_Database3[[#Headers],[2018]])</f>
        <v>2018</v>
      </c>
      <c r="AT12">
        <f>VALUE(Tabelle_Abfrage_von_MS_Access_Database3[[#Headers],[2019]])</f>
        <v>2019</v>
      </c>
      <c r="AU12">
        <f>VALUE(Tabelle_Abfrage_von_MS_Access_Database3[[#Headers],[2020]])</f>
        <v>2020</v>
      </c>
      <c r="AV12">
        <f>VALUE(Tabelle_Abfrage_von_MS_Access_Database3[[#Headers],[2021]])</f>
        <v>2021</v>
      </c>
      <c r="AW12">
        <f>VALUE(Tabelle_Abfrage_von_MS_Access_Database3[[#Headers],[2022]])</f>
        <v>2022</v>
      </c>
      <c r="AX12">
        <f>VALUE(Tabelle_Abfrage_von_MS_Access_Database3[[#Headers],[2023]])</f>
        <v>2023</v>
      </c>
    </row>
    <row r="14" spans="1:50" x14ac:dyDescent="0.25">
      <c r="B14" s="10" t="str">
        <f t="shared" ref="B14" si="30">VLOOKUP(Außenhandelspartner,Import_Matrix,B11,FALSE)</f>
        <v>Deutschland</v>
      </c>
      <c r="C14" s="10" t="str">
        <f t="shared" ref="C14:D14" si="31">VLOOKUP(Außenhandelspartner,Import_Matrix,C11,FALSE)</f>
        <v>1978</v>
      </c>
      <c r="D14" s="10" t="str">
        <f t="shared" si="31"/>
        <v>9999</v>
      </c>
      <c r="E14" s="10">
        <f t="shared" ref="E14:AN14" si="32">VLOOKUP(Außenhandelspartner,Import_Matrix,E11,FALSE)/Einheit_Wert</f>
        <v>7302232</v>
      </c>
      <c r="F14" s="10">
        <f t="shared" si="32"/>
        <v>8301883</v>
      </c>
      <c r="G14" s="10">
        <f t="shared" si="32"/>
        <v>9367407</v>
      </c>
      <c r="H14" s="10">
        <f t="shared" si="32"/>
        <v>9447237</v>
      </c>
      <c r="I14" s="10">
        <f t="shared" si="32"/>
        <v>9806677</v>
      </c>
      <c r="J14" s="10">
        <f t="shared" si="32"/>
        <v>10508051</v>
      </c>
      <c r="K14" s="10">
        <f t="shared" si="32"/>
        <v>11375844</v>
      </c>
      <c r="L14" s="10">
        <f t="shared" si="32"/>
        <v>12818358</v>
      </c>
      <c r="M14" s="10">
        <f t="shared" si="32"/>
        <v>13042004</v>
      </c>
      <c r="N14" s="10">
        <f t="shared" si="32"/>
        <v>13222888</v>
      </c>
      <c r="O14" s="10">
        <f t="shared" si="32"/>
        <v>14603078</v>
      </c>
      <c r="P14" s="10">
        <f t="shared" si="32"/>
        <v>16316473</v>
      </c>
      <c r="Q14" s="10">
        <f t="shared" si="32"/>
        <v>17664424</v>
      </c>
      <c r="R14" s="10">
        <f t="shared" si="32"/>
        <v>18505701</v>
      </c>
      <c r="S14" s="10">
        <f t="shared" si="32"/>
        <v>18505011</v>
      </c>
      <c r="T14" s="10">
        <f t="shared" si="32"/>
        <v>17019443</v>
      </c>
      <c r="U14" s="10">
        <f t="shared" si="32"/>
        <v>18295530</v>
      </c>
      <c r="V14" s="10">
        <f t="shared" si="32"/>
        <v>21162496.851</v>
      </c>
      <c r="W14" s="10">
        <f t="shared" si="32"/>
        <v>22205880.182999998</v>
      </c>
      <c r="X14" s="10">
        <f t="shared" si="32"/>
        <v>23932815.851</v>
      </c>
      <c r="Y14" s="10">
        <f t="shared" si="32"/>
        <v>25572237.006000001</v>
      </c>
      <c r="Z14" s="10">
        <f t="shared" si="32"/>
        <v>27379802.945</v>
      </c>
      <c r="AA14" s="10">
        <f t="shared" si="32"/>
        <v>30533996.706</v>
      </c>
      <c r="AB14" s="10">
        <f t="shared" si="32"/>
        <v>31901114.750999998</v>
      </c>
      <c r="AC14" s="10">
        <f t="shared" si="32"/>
        <v>31085527.177000001</v>
      </c>
      <c r="AD14" s="10">
        <f t="shared" si="32"/>
        <v>33189967.059999999</v>
      </c>
      <c r="AE14" s="10">
        <f t="shared" si="32"/>
        <v>39130293.618000001</v>
      </c>
      <c r="AF14" s="10">
        <f t="shared" si="32"/>
        <v>40732762.078000002</v>
      </c>
      <c r="AG14" s="10">
        <f t="shared" si="32"/>
        <v>43263947.011</v>
      </c>
      <c r="AH14" s="10">
        <f t="shared" si="32"/>
        <v>47498026.629000001</v>
      </c>
      <c r="AI14" s="10">
        <f t="shared" si="32"/>
        <v>48490087.452</v>
      </c>
      <c r="AJ14" s="10">
        <f t="shared" si="32"/>
        <v>39827237.608999997</v>
      </c>
      <c r="AK14" s="10">
        <f t="shared" si="32"/>
        <v>44851304.177000001</v>
      </c>
      <c r="AL14" s="10">
        <f t="shared" si="32"/>
        <v>50050447.825999998</v>
      </c>
      <c r="AM14" s="10">
        <f t="shared" si="32"/>
        <v>49587145.479999997</v>
      </c>
      <c r="AN14" s="10">
        <f t="shared" si="32"/>
        <v>49020287.583999999</v>
      </c>
      <c r="AO14" s="10">
        <f t="shared" ref="AO14:AP14" si="33">VLOOKUP(Außenhandelspartner,Import_Matrix,AO11,FALSE)/Einheit_Wert</f>
        <v>48543290.417000003</v>
      </c>
      <c r="AP14" s="10">
        <f t="shared" si="33"/>
        <v>49243680.358000003</v>
      </c>
      <c r="AQ14" s="10">
        <f t="shared" ref="AQ14:AR14" si="34">VLOOKUP(Außenhandelspartner,Import_Matrix,AQ11,FALSE)/Einheit_Wert</f>
        <v>50413887.116999999</v>
      </c>
      <c r="AR14" s="10">
        <f t="shared" si="34"/>
        <v>54399256.851000004</v>
      </c>
      <c r="AS14" s="10">
        <f t="shared" ref="AS14:AT14" si="35">VLOOKUP(Außenhandelspartner,Import_Matrix,AS11,FALSE)/Einheit_Wert</f>
        <v>55850258.066</v>
      </c>
      <c r="AT14" s="10">
        <f t="shared" si="35"/>
        <v>55225810.637999997</v>
      </c>
      <c r="AU14" s="10">
        <f t="shared" ref="AU14:AV14" si="36">VLOOKUP(Außenhandelspartner,Import_Matrix,AU11,FALSE)/Einheit_Wert</f>
        <v>50514657.633000001</v>
      </c>
      <c r="AV14" s="10">
        <f t="shared" si="36"/>
        <v>59150269.814999998</v>
      </c>
      <c r="AW14" s="10">
        <f t="shared" ref="AW14:AX14" si="37">VLOOKUP(Außenhandelspartner,Import_Matrix,AW11,FALSE)/Einheit_Wert</f>
        <v>69021883.199000001</v>
      </c>
      <c r="AX14" s="10">
        <f t="shared" si="37"/>
        <v>63848099.957000002</v>
      </c>
    </row>
    <row r="15" spans="1:50" x14ac:dyDescent="0.25">
      <c r="B15" t="str">
        <f>VLOOKUP(IF(Texte!$A$1=2,"World","Welt"),Import_Matrix,B11,FALSE)</f>
        <v>Welt</v>
      </c>
      <c r="C15" t="str">
        <f>VLOOKUP(IF(Texte!$A$1=2,"World","Welt"),Import_Matrix,C11,FALSE)</f>
        <v>1978</v>
      </c>
      <c r="D15" t="str">
        <f>VLOOKUP(IF(Texte!$A$1=2,"World","Welt"),Import_Matrix,D11,FALSE)</f>
        <v>9999</v>
      </c>
      <c r="E15">
        <f>VLOOKUP(IF(Texte!$A$1=2,"World","Welt"),Import_Matrix,E11,FALSE)/Einheit_Wert</f>
        <v>16851978</v>
      </c>
      <c r="F15">
        <f>VLOOKUP(IF(Texte!$A$1=2,"World","Welt"),Import_Matrix,F11,FALSE)/Einheit_Wert</f>
        <v>19611617</v>
      </c>
      <c r="G15">
        <f>VLOOKUP(IF(Texte!$A$1=2,"World","Welt"),Import_Matrix,G11,FALSE)/Einheit_Wert</f>
        <v>22953398</v>
      </c>
      <c r="H15">
        <f>VLOOKUP(IF(Texte!$A$1=2,"World","Welt"),Import_Matrix,H11,FALSE)/Einheit_Wert</f>
        <v>24309799</v>
      </c>
      <c r="I15">
        <f>VLOOKUP(IF(Texte!$A$1=2,"World","Welt"),Import_Matrix,I11,FALSE)/Einheit_Wert</f>
        <v>24167401</v>
      </c>
      <c r="J15">
        <f>VLOOKUP(IF(Texte!$A$1=2,"World","Welt"),Import_Matrix,J11,FALSE)/Einheit_Wert</f>
        <v>25314797</v>
      </c>
      <c r="K15">
        <f>VLOOKUP(IF(Texte!$A$1=2,"World","Welt"),Import_Matrix,K11,FALSE)/Einheit_Wert</f>
        <v>28494581</v>
      </c>
      <c r="L15">
        <f>VLOOKUP(IF(Texte!$A$1=2,"World","Welt"),Import_Matrix,L11,FALSE)/Einheit_Wert</f>
        <v>31319763</v>
      </c>
      <c r="M15">
        <f>VLOOKUP(IF(Texte!$A$1=2,"World","Welt"),Import_Matrix,M11,FALSE)/Einheit_Wert</f>
        <v>29647186</v>
      </c>
      <c r="N15">
        <f>VLOOKUP(IF(Texte!$A$1=2,"World","Welt"),Import_Matrix,N11,FALSE)/Einheit_Wert</f>
        <v>29930943</v>
      </c>
      <c r="O15">
        <f>VLOOKUP(IF(Texte!$A$1=2,"World","Welt"),Import_Matrix,O11,FALSE)/Einheit_Wert</f>
        <v>32807553</v>
      </c>
      <c r="P15">
        <f>VLOOKUP(IF(Texte!$A$1=2,"World","Welt"),Import_Matrix,P11,FALSE)/Einheit_Wert</f>
        <v>37403727</v>
      </c>
      <c r="Q15">
        <f>VLOOKUP(IF(Texte!$A$1=2,"World","Welt"),Import_Matrix,Q11,FALSE)/Einheit_Wert</f>
        <v>40423113</v>
      </c>
      <c r="R15">
        <f>VLOOKUP(IF(Texte!$A$1=2,"World","Welt"),Import_Matrix,R11,FALSE)/Einheit_Wert</f>
        <v>43014924</v>
      </c>
      <c r="S15">
        <f>VLOOKUP(IF(Texte!$A$1=2,"World","Welt"),Import_Matrix,S11,FALSE)/Einheit_Wert</f>
        <v>43162105</v>
      </c>
      <c r="T15">
        <f>VLOOKUP(IF(Texte!$A$1=2,"World","Welt"),Import_Matrix,T11,FALSE)/Einheit_Wert</f>
        <v>41053570</v>
      </c>
      <c r="U15">
        <f>VLOOKUP(IF(Texte!$A$1=2,"World","Welt"),Import_Matrix,U11,FALSE)/Einheit_Wert</f>
        <v>45702324</v>
      </c>
      <c r="V15">
        <f>VLOOKUP(IF(Texte!$A$1=2,"World","Welt"),Import_Matrix,V11,FALSE)/Einheit_Wert</f>
        <v>48547713.695</v>
      </c>
      <c r="W15">
        <f>VLOOKUP(IF(Texte!$A$1=2,"World","Welt"),Import_Matrix,W11,FALSE)/Einheit_Wert</f>
        <v>51798258.625</v>
      </c>
      <c r="X15">
        <f>VLOOKUP(IF(Texte!$A$1=2,"World","Welt"),Import_Matrix,X11,FALSE)/Einheit_Wert</f>
        <v>57429761.454000004</v>
      </c>
      <c r="Y15">
        <f>VLOOKUP(IF(Texte!$A$1=2,"World","Welt"),Import_Matrix,Y11,FALSE)/Einheit_Wert</f>
        <v>61199826.619999997</v>
      </c>
      <c r="Z15">
        <f>VLOOKUP(IF(Texte!$A$1=2,"World","Welt"),Import_Matrix,Z11,FALSE)/Einheit_Wert</f>
        <v>65315500.659999996</v>
      </c>
      <c r="AA15">
        <f>VLOOKUP(IF(Texte!$A$1=2,"World","Welt"),Import_Matrix,AA11,FALSE)/Einheit_Wert</f>
        <v>74935175.785999998</v>
      </c>
      <c r="AB15">
        <f>VLOOKUP(IF(Texte!$A$1=2,"World","Welt"),Import_Matrix,AB11,FALSE)/Einheit_Wert</f>
        <v>78690995.726999998</v>
      </c>
      <c r="AC15">
        <f>VLOOKUP(IF(Texte!$A$1=2,"World","Welt"),Import_Matrix,AC11,FALSE)/Einheit_Wert</f>
        <v>77104414.365999997</v>
      </c>
      <c r="AD15">
        <f>VLOOKUP(IF(Texte!$A$1=2,"World","Welt"),Import_Matrix,AD11,FALSE)/Einheit_Wert</f>
        <v>80993348.732999995</v>
      </c>
      <c r="AE15">
        <f>VLOOKUP(IF(Texte!$A$1=2,"World","Welt"),Import_Matrix,AE11,FALSE)/Einheit_Wert</f>
        <v>91094351.231000006</v>
      </c>
      <c r="AF15">
        <f>VLOOKUP(IF(Texte!$A$1=2,"World","Welt"),Import_Matrix,AF11,FALSE)/Einheit_Wert</f>
        <v>96498905.741999999</v>
      </c>
      <c r="AG15">
        <f>VLOOKUP(IF(Texte!$A$1=2,"World","Welt"),Import_Matrix,AG11,FALSE)/Einheit_Wert</f>
        <v>104200577.12899999</v>
      </c>
      <c r="AH15">
        <f>VLOOKUP(IF(Texte!$A$1=2,"World","Welt"),Import_Matrix,AH11,FALSE)/Einheit_Wert</f>
        <v>114254858.48100001</v>
      </c>
      <c r="AI15">
        <f>VLOOKUP(IF(Texte!$A$1=2,"World","Welt"),Import_Matrix,AI11,FALSE)/Einheit_Wert</f>
        <v>119567956.543</v>
      </c>
      <c r="AJ15">
        <f>VLOOKUP(IF(Texte!$A$1=2,"World","Welt"),Import_Matrix,AJ11,FALSE)/Einheit_Wert</f>
        <v>97574002.856999993</v>
      </c>
      <c r="AK15">
        <f>VLOOKUP(IF(Texte!$A$1=2,"World","Welt"),Import_Matrix,AK11,FALSE)/Einheit_Wert</f>
        <v>113652122.59299999</v>
      </c>
      <c r="AL15">
        <f>VLOOKUP(IF(Texte!$A$1=2,"World","Welt"),Import_Matrix,AL11,FALSE)/Einheit_Wert</f>
        <v>131007550.82799999</v>
      </c>
      <c r="AM15">
        <f>VLOOKUP(IF(Texte!$A$1=2,"World","Welt"),Import_Matrix,AM11,FALSE)/Einheit_Wert</f>
        <v>131982036.54899999</v>
      </c>
      <c r="AN15">
        <f>VLOOKUP(IF(Texte!$A$1=2,"World","Welt"),Import_Matrix,AN11,FALSE)/Einheit_Wert</f>
        <v>130706675.616</v>
      </c>
      <c r="AO15">
        <f>VLOOKUP(IF(Texte!$A$1=2,"World","Welt"),Import_Matrix,AO11,FALSE)/Einheit_Wert</f>
        <v>129847248.066</v>
      </c>
      <c r="AP15">
        <f>VLOOKUP(IF(Texte!$A$1=2,"World","Welt"),Import_Matrix,AP11,FALSE)/Einheit_Wert</f>
        <v>133529296.83400001</v>
      </c>
      <c r="AQ15">
        <f>VLOOKUP(IF(Texte!$A$1=2,"World","Welt"),Import_Matrix,AQ11,FALSE)/Einheit_Wert</f>
        <v>135667127.91600001</v>
      </c>
      <c r="AR15">
        <f>VLOOKUP(IF(Texte!$A$1=2,"World","Welt"),Import_Matrix,AR11,FALSE)/Einheit_Wert</f>
        <v>147542228.24700001</v>
      </c>
      <c r="AS15">
        <f>VLOOKUP(IF(Texte!$A$1=2,"World","Welt"),Import_Matrix,AS11,FALSE)/Einheit_Wert</f>
        <v>156056107.88299999</v>
      </c>
      <c r="AT15">
        <f>VLOOKUP(IF(Texte!$A$1=2,"World","Welt"),Import_Matrix,AT11,FALSE)/Einheit_Wert</f>
        <v>157817218.65900001</v>
      </c>
      <c r="AU15">
        <f>VLOOKUP(IF(Texte!$A$1=2,"World","Welt"),Import_Matrix,AU11,FALSE)/Einheit_Wert</f>
        <v>144421216.84299999</v>
      </c>
      <c r="AV15">
        <f>VLOOKUP(IF(Texte!$A$1=2,"World","Welt"),Import_Matrix,AV11,FALSE)/Einheit_Wert</f>
        <v>178446290.09599999</v>
      </c>
      <c r="AW15">
        <f>VLOOKUP(IF(Texte!$A$1=2,"World","Welt"),Import_Matrix,AW11,FALSE)/Einheit_Wert</f>
        <v>215272884.06299999</v>
      </c>
      <c r="AX15">
        <f>VLOOKUP(IF(Texte!$A$1=2,"World","Welt"),Import_Matrix,AX11,FALSE)/Einheit_Wert</f>
        <v>201636635.37400001</v>
      </c>
    </row>
    <row r="17" spans="1:50" x14ac:dyDescent="0.25">
      <c r="B17" t="str">
        <f>B14</f>
        <v>Deutschland</v>
      </c>
      <c r="E17" s="19">
        <f>E14</f>
        <v>7302232</v>
      </c>
      <c r="F17" s="19">
        <f t="shared" ref="F17:AN17" si="38">F14</f>
        <v>8301883</v>
      </c>
      <c r="G17" s="19">
        <f t="shared" si="38"/>
        <v>9367407</v>
      </c>
      <c r="H17" s="19">
        <f t="shared" si="38"/>
        <v>9447237</v>
      </c>
      <c r="I17" s="19">
        <f t="shared" si="38"/>
        <v>9806677</v>
      </c>
      <c r="J17" s="19">
        <f t="shared" si="38"/>
        <v>10508051</v>
      </c>
      <c r="K17" s="19">
        <f t="shared" si="38"/>
        <v>11375844</v>
      </c>
      <c r="L17" s="19">
        <f t="shared" si="38"/>
        <v>12818358</v>
      </c>
      <c r="M17" s="19">
        <f t="shared" si="38"/>
        <v>13042004</v>
      </c>
      <c r="N17" s="19">
        <f t="shared" si="38"/>
        <v>13222888</v>
      </c>
      <c r="O17" s="19">
        <f t="shared" si="38"/>
        <v>14603078</v>
      </c>
      <c r="P17" s="19">
        <f t="shared" si="38"/>
        <v>16316473</v>
      </c>
      <c r="Q17" s="19">
        <f t="shared" si="38"/>
        <v>17664424</v>
      </c>
      <c r="R17" s="19">
        <f t="shared" si="38"/>
        <v>18505701</v>
      </c>
      <c r="S17" s="19">
        <f t="shared" si="38"/>
        <v>18505011</v>
      </c>
      <c r="T17" s="19">
        <f t="shared" si="38"/>
        <v>17019443</v>
      </c>
      <c r="U17" s="19">
        <f t="shared" si="38"/>
        <v>18295530</v>
      </c>
      <c r="V17" s="19">
        <f t="shared" si="38"/>
        <v>21162496.851</v>
      </c>
      <c r="W17" s="19">
        <f t="shared" si="38"/>
        <v>22205880.182999998</v>
      </c>
      <c r="X17" s="19">
        <f t="shared" si="38"/>
        <v>23932815.851</v>
      </c>
      <c r="Y17" s="19">
        <f t="shared" si="38"/>
        <v>25572237.006000001</v>
      </c>
      <c r="Z17" s="19">
        <f t="shared" si="38"/>
        <v>27379802.945</v>
      </c>
      <c r="AA17" s="19">
        <f t="shared" si="38"/>
        <v>30533996.706</v>
      </c>
      <c r="AB17" s="19">
        <f t="shared" si="38"/>
        <v>31901114.750999998</v>
      </c>
      <c r="AC17" s="19">
        <f t="shared" si="38"/>
        <v>31085527.177000001</v>
      </c>
      <c r="AD17" s="19">
        <f t="shared" si="38"/>
        <v>33189967.059999999</v>
      </c>
      <c r="AE17" s="19">
        <f t="shared" si="38"/>
        <v>39130293.618000001</v>
      </c>
      <c r="AF17" s="19">
        <f t="shared" si="38"/>
        <v>40732762.078000002</v>
      </c>
      <c r="AG17" s="19">
        <f t="shared" si="38"/>
        <v>43263947.011</v>
      </c>
      <c r="AH17" s="19">
        <f t="shared" si="38"/>
        <v>47498026.629000001</v>
      </c>
      <c r="AI17" s="19">
        <f t="shared" si="38"/>
        <v>48490087.452</v>
      </c>
      <c r="AJ17" s="19">
        <f t="shared" si="38"/>
        <v>39827237.608999997</v>
      </c>
      <c r="AK17" s="19">
        <f t="shared" si="38"/>
        <v>44851304.177000001</v>
      </c>
      <c r="AL17" s="19">
        <f t="shared" si="38"/>
        <v>50050447.825999998</v>
      </c>
      <c r="AM17" s="19">
        <f t="shared" si="38"/>
        <v>49587145.479999997</v>
      </c>
      <c r="AN17" s="19">
        <f t="shared" si="38"/>
        <v>49020287.583999999</v>
      </c>
      <c r="AO17" s="19">
        <f t="shared" ref="AO17:AP17" si="39">AO14</f>
        <v>48543290.417000003</v>
      </c>
      <c r="AP17" s="19">
        <f t="shared" si="39"/>
        <v>49243680.358000003</v>
      </c>
      <c r="AQ17" s="19">
        <f t="shared" ref="AQ17:AR17" si="40">AQ14</f>
        <v>50413887.116999999</v>
      </c>
      <c r="AR17" s="19">
        <f t="shared" si="40"/>
        <v>54399256.851000004</v>
      </c>
      <c r="AS17" s="19">
        <f t="shared" ref="AS17:AT17" si="41">AS14</f>
        <v>55850258.066</v>
      </c>
      <c r="AT17" s="19">
        <f t="shared" si="41"/>
        <v>55225810.637999997</v>
      </c>
      <c r="AU17" s="19">
        <f t="shared" ref="AU17:AV17" si="42">AU14</f>
        <v>50514657.633000001</v>
      </c>
      <c r="AV17" s="19">
        <f t="shared" si="42"/>
        <v>59150269.814999998</v>
      </c>
      <c r="AW17" s="19">
        <f t="shared" ref="AW17:AX17" si="43">AW14</f>
        <v>69021883.199000001</v>
      </c>
      <c r="AX17" s="19">
        <f t="shared" si="43"/>
        <v>63848099.957000002</v>
      </c>
    </row>
    <row r="18" spans="1:50" x14ac:dyDescent="0.25">
      <c r="A18" t="s">
        <v>552</v>
      </c>
      <c r="B18" t="str">
        <f>Außenhandelspartner</f>
        <v>Deutschland</v>
      </c>
      <c r="F18" s="1">
        <f t="shared" ref="F18:AO18" si="44">(F17*100/E17)-100</f>
        <v>13.689663653524022</v>
      </c>
      <c r="G18" s="1">
        <f t="shared" si="44"/>
        <v>12.834726772227455</v>
      </c>
      <c r="H18" s="1">
        <f t="shared" si="44"/>
        <v>0.85221022210308206</v>
      </c>
      <c r="I18" s="1">
        <f t="shared" si="44"/>
        <v>3.8047103084213916</v>
      </c>
      <c r="J18" s="1">
        <f t="shared" si="44"/>
        <v>7.1520047004709113</v>
      </c>
      <c r="K18" s="1">
        <f t="shared" si="44"/>
        <v>8.258363039920539</v>
      </c>
      <c r="L18" s="1">
        <f t="shared" si="44"/>
        <v>12.680500892944735</v>
      </c>
      <c r="M18" s="1">
        <f t="shared" si="44"/>
        <v>1.744732047583625</v>
      </c>
      <c r="N18" s="1">
        <f t="shared" si="44"/>
        <v>1.386934093870849</v>
      </c>
      <c r="O18" s="1">
        <f t="shared" si="44"/>
        <v>10.437886186436728</v>
      </c>
      <c r="P18" s="1">
        <f t="shared" si="44"/>
        <v>11.733108595324907</v>
      </c>
      <c r="Q18" s="1">
        <f t="shared" si="44"/>
        <v>8.2612890665770777</v>
      </c>
      <c r="R18" s="1">
        <f t="shared" si="44"/>
        <v>4.7625498572724467</v>
      </c>
      <c r="S18" s="1">
        <f t="shared" si="44"/>
        <v>-3.7285807222389167E-3</v>
      </c>
      <c r="T18" s="1">
        <f t="shared" si="44"/>
        <v>-8.0279228150688482</v>
      </c>
      <c r="U18" s="1">
        <f t="shared" si="44"/>
        <v>7.4978188181599137</v>
      </c>
      <c r="V18" s="1">
        <f t="shared" si="44"/>
        <v>15.670313191254905</v>
      </c>
      <c r="W18" s="1">
        <f t="shared" si="44"/>
        <v>4.9303413455709233</v>
      </c>
      <c r="X18" s="1">
        <f t="shared" si="44"/>
        <v>7.7769295959818692</v>
      </c>
      <c r="Y18" s="1">
        <f t="shared" si="44"/>
        <v>6.8500972271990292</v>
      </c>
      <c r="Z18" s="1">
        <f t="shared" si="44"/>
        <v>7.0684701482153827</v>
      </c>
      <c r="AA18" s="1">
        <f t="shared" si="44"/>
        <v>11.520147779500391</v>
      </c>
      <c r="AB18" s="1">
        <f t="shared" si="44"/>
        <v>4.4773635700673111</v>
      </c>
      <c r="AC18" s="1">
        <f t="shared" si="44"/>
        <v>-2.5566115177038711</v>
      </c>
      <c r="AD18" s="1">
        <f t="shared" si="44"/>
        <v>6.7698381662224563</v>
      </c>
      <c r="AE18" s="1">
        <f t="shared" si="44"/>
        <v>17.897958582668153</v>
      </c>
      <c r="AF18" s="1">
        <f t="shared" si="44"/>
        <v>4.095211949196468</v>
      </c>
      <c r="AG18" s="1">
        <f t="shared" si="44"/>
        <v>6.2141254456375492</v>
      </c>
      <c r="AH18" s="1">
        <f t="shared" si="44"/>
        <v>9.7866235295717843</v>
      </c>
      <c r="AI18" s="1">
        <f t="shared" si="44"/>
        <v>2.0886358727044296</v>
      </c>
      <c r="AJ18" s="1">
        <f t="shared" si="44"/>
        <v>-17.865197400551807</v>
      </c>
      <c r="AK18" s="1">
        <f t="shared" si="44"/>
        <v>12.614649846728724</v>
      </c>
      <c r="AL18" s="1">
        <f t="shared" si="44"/>
        <v>11.591956453444993</v>
      </c>
      <c r="AM18" s="1">
        <f t="shared" si="44"/>
        <v>-0.9256707304811016</v>
      </c>
      <c r="AN18" s="1">
        <f t="shared" si="44"/>
        <v>-1.1431549255615749</v>
      </c>
      <c r="AO18" s="1">
        <f t="shared" si="44"/>
        <v>-0.97306072752556361</v>
      </c>
      <c r="AP18" s="1">
        <f t="shared" ref="AP18:AX18" si="45">(AP17*100/AO17)-100</f>
        <v>1.4428151346632205</v>
      </c>
      <c r="AQ18" s="1">
        <f t="shared" ref="AQ18:AW18" si="46">(AQ17*100/AP17)-100</f>
        <v>2.3763592617217597</v>
      </c>
      <c r="AR18" s="1">
        <f t="shared" si="45"/>
        <v>7.9053014197274649</v>
      </c>
      <c r="AS18" s="1">
        <f t="shared" si="46"/>
        <v>2.6673180829920256</v>
      </c>
      <c r="AT18" s="1">
        <f t="shared" si="45"/>
        <v>-1.1180743825070181</v>
      </c>
      <c r="AU18" s="1">
        <f t="shared" si="46"/>
        <v>-8.5307086497673339</v>
      </c>
      <c r="AV18" s="1">
        <f t="shared" si="45"/>
        <v>17.095260240581268</v>
      </c>
      <c r="AW18" s="1">
        <f t="shared" si="46"/>
        <v>16.689042019376629</v>
      </c>
      <c r="AX18" s="1">
        <f t="shared" si="45"/>
        <v>-7.4958592872397389</v>
      </c>
    </row>
    <row r="19" spans="1:50" x14ac:dyDescent="0.25">
      <c r="A19" t="str">
        <f>Außenhandelspartner</f>
        <v>Deutschland</v>
      </c>
      <c r="B19">
        <f>VLOOKUP(Außenhandelspartner,Import_Matrix,VLOOKUP(Basis_Jahr,Import_Basis_Jahr,2,FALSE),FALSE)/Einheit_Wert</f>
        <v>63848099.957000002</v>
      </c>
      <c r="E19">
        <f>IF($B$19=0,0.01,E14/$B$19*100)</f>
        <v>11.436882232858705</v>
      </c>
      <c r="F19">
        <f t="shared" ref="F19:AN19" si="47">IF($B$19=0,0.01,F14/$B$19*100)</f>
        <v>13.002552942986709</v>
      </c>
      <c r="G19">
        <f t="shared" si="47"/>
        <v>14.671395086633273</v>
      </c>
      <c r="H19">
        <f t="shared" si="47"/>
        <v>14.796426215286692</v>
      </c>
      <c r="I19">
        <f t="shared" si="47"/>
        <v>15.359387368777671</v>
      </c>
      <c r="J19">
        <f t="shared" si="47"/>
        <v>16.457891475356188</v>
      </c>
      <c r="K19">
        <f t="shared" si="47"/>
        <v>17.817043902107233</v>
      </c>
      <c r="L19">
        <f t="shared" si="47"/>
        <v>20.076334313210296</v>
      </c>
      <c r="M19">
        <f t="shared" si="47"/>
        <v>20.426612551952907</v>
      </c>
      <c r="N19">
        <f t="shared" si="47"/>
        <v>20.709916205658843</v>
      </c>
      <c r="O19">
        <f t="shared" si="47"/>
        <v>22.871593688511929</v>
      </c>
      <c r="P19">
        <f t="shared" si="47"/>
        <v>25.555142613466508</v>
      </c>
      <c r="Q19">
        <f t="shared" si="47"/>
        <v>27.666326816140995</v>
      </c>
      <c r="R19">
        <f t="shared" si="47"/>
        <v>28.98394942443565</v>
      </c>
      <c r="S19">
        <f t="shared" si="47"/>
        <v>28.982868734484867</v>
      </c>
      <c r="T19">
        <f t="shared" si="47"/>
        <v>26.656146402887703</v>
      </c>
      <c r="U19">
        <f t="shared" si="47"/>
        <v>28.654775964079672</v>
      </c>
      <c r="V19">
        <f t="shared" si="47"/>
        <v>33.145069101903388</v>
      </c>
      <c r="W19">
        <f t="shared" si="47"/>
        <v>34.779234147852591</v>
      </c>
      <c r="X19">
        <f t="shared" si="47"/>
        <v>37.48399070155277</v>
      </c>
      <c r="Y19">
        <f t="shared" si="47"/>
        <v>40.051680509243383</v>
      </c>
      <c r="Z19">
        <f t="shared" si="47"/>
        <v>42.882721589897848</v>
      </c>
      <c r="AA19">
        <f t="shared" si="47"/>
        <v>47.822874488925805</v>
      </c>
      <c r="AB19">
        <f t="shared" si="47"/>
        <v>49.964078449451982</v>
      </c>
      <c r="AC19">
        <f t="shared" si="47"/>
        <v>48.686691065098692</v>
      </c>
      <c r="AD19">
        <f t="shared" si="47"/>
        <v>51.982701258694554</v>
      </c>
      <c r="AE19">
        <f t="shared" si="47"/>
        <v>61.286543600127821</v>
      </c>
      <c r="AF19">
        <f t="shared" si="47"/>
        <v>63.796357456889766</v>
      </c>
      <c r="AG19">
        <f t="shared" si="47"/>
        <v>67.760743139008241</v>
      </c>
      <c r="AH19">
        <f t="shared" si="47"/>
        <v>74.392231970863122</v>
      </c>
      <c r="AI19">
        <f t="shared" si="47"/>
        <v>75.946014814312065</v>
      </c>
      <c r="AJ19">
        <f t="shared" si="47"/>
        <v>62.378109349882891</v>
      </c>
      <c r="AK19">
        <f t="shared" si="47"/>
        <v>70.246889425380175</v>
      </c>
      <c r="AL19">
        <f t="shared" si="47"/>
        <v>78.389878257469903</v>
      </c>
      <c r="AM19">
        <f t="shared" si="47"/>
        <v>77.664246098780737</v>
      </c>
      <c r="AN19">
        <f t="shared" si="47"/>
        <v>76.776423444102278</v>
      </c>
      <c r="AO19">
        <f t="shared" ref="AO19:AP19" si="48">IF($B$19=0,0.01,AO14/$B$19*100)</f>
        <v>76.029342219568974</v>
      </c>
      <c r="AP19">
        <f t="shared" si="48"/>
        <v>77.126305075897818</v>
      </c>
      <c r="AQ19">
        <f t="shared" ref="AQ19:AR19" si="49">IF($B$19=0,0.01,AQ14/$B$19*100)</f>
        <v>78.959103169792698</v>
      </c>
      <c r="AR19">
        <f t="shared" si="49"/>
        <v>85.201058273678399</v>
      </c>
      <c r="AS19">
        <f t="shared" ref="AS19:AT19" si="50">IF($B$19=0,0.01,AS14/$B$19*100)</f>
        <v>87.473641507912774</v>
      </c>
      <c r="AT19">
        <f t="shared" si="50"/>
        <v>86.495621130766793</v>
      </c>
      <c r="AU19">
        <f t="shared" ref="AU19:AV19" si="51">IF($B$19=0,0.01,AU14/$B$19*100)</f>
        <v>79.11693169729449</v>
      </c>
      <c r="AV19">
        <f t="shared" si="51"/>
        <v>92.642177065309909</v>
      </c>
      <c r="AW19">
        <f t="shared" ref="AW19:AX19" si="52">IF($B$19=0,0.01,AW14/$B$19*100)</f>
        <v>108.10326892340478</v>
      </c>
      <c r="AX19">
        <f t="shared" si="52"/>
        <v>100</v>
      </c>
    </row>
    <row r="20" spans="1:50" x14ac:dyDescent="0.25">
      <c r="A20" t="str">
        <f>IF(Texte!A1=2,"World without "&amp; Außenhandelspartner,"Welt ohne " &amp; Außenhandelspartner)</f>
        <v>Welt ohne Deutschland</v>
      </c>
      <c r="B20">
        <f>(VLOOKUP(IF(Texte!A1=2,"World","Welt"),Import_Matrix,VLOOKUP(Basis_Jahr,Import_Basis_Jahr,2,FALSE),FALSE)/Einheit_Wert)-B19</f>
        <v>137788535.417</v>
      </c>
      <c r="E20">
        <f t="shared" ref="E20:AM20" si="53">(E15-E14)/$B$20*100</f>
        <v>6.9307261094683037</v>
      </c>
      <c r="F20">
        <f t="shared" si="53"/>
        <v>8.2080370226539419</v>
      </c>
      <c r="G20">
        <f t="shared" si="53"/>
        <v>9.860030051762779</v>
      </c>
      <c r="H20">
        <f t="shared" si="53"/>
        <v>10.786501180972923</v>
      </c>
      <c r="I20">
        <f t="shared" si="53"/>
        <v>10.422292360201842</v>
      </c>
      <c r="J20">
        <f t="shared" si="53"/>
        <v>10.745992730954873</v>
      </c>
      <c r="K20">
        <f t="shared" si="53"/>
        <v>12.423919702892738</v>
      </c>
      <c r="L20">
        <f t="shared" si="53"/>
        <v>13.427390707077175</v>
      </c>
      <c r="M20">
        <f t="shared" si="53"/>
        <v>12.051207271886929</v>
      </c>
      <c r="N20">
        <f t="shared" si="53"/>
        <v>12.125867329553314</v>
      </c>
      <c r="O20">
        <f t="shared" si="53"/>
        <v>13.211893823318757</v>
      </c>
      <c r="P20">
        <f t="shared" si="53"/>
        <v>15.304070063726293</v>
      </c>
      <c r="Q20">
        <f t="shared" si="53"/>
        <v>16.517113656171492</v>
      </c>
      <c r="R20">
        <f t="shared" si="53"/>
        <v>17.787563330886609</v>
      </c>
      <c r="S20">
        <f t="shared" si="53"/>
        <v>17.894880677393331</v>
      </c>
      <c r="T20">
        <f t="shared" si="53"/>
        <v>17.442762510874857</v>
      </c>
      <c r="U20">
        <f t="shared" si="53"/>
        <v>19.890474862118769</v>
      </c>
      <c r="V20">
        <f t="shared" si="53"/>
        <v>19.874815245783708</v>
      </c>
      <c r="W20">
        <f t="shared" si="53"/>
        <v>21.476662301723668</v>
      </c>
      <c r="X20">
        <f t="shared" si="53"/>
        <v>24.310401080631006</v>
      </c>
      <c r="Y20">
        <f t="shared" si="53"/>
        <v>25.856715514231638</v>
      </c>
      <c r="Z20">
        <f t="shared" si="53"/>
        <v>27.531824473053788</v>
      </c>
      <c r="AA20">
        <f t="shared" si="53"/>
        <v>32.224146185765974</v>
      </c>
      <c r="AB20">
        <f t="shared" si="53"/>
        <v>33.957746074008405</v>
      </c>
      <c r="AC20">
        <f t="shared" si="53"/>
        <v>33.398197498601398</v>
      </c>
      <c r="AD20">
        <f t="shared" si="53"/>
        <v>34.693293987289259</v>
      </c>
      <c r="AE20">
        <f t="shared" si="53"/>
        <v>37.712903657577314</v>
      </c>
      <c r="AF20">
        <f t="shared" si="53"/>
        <v>40.472266792901635</v>
      </c>
      <c r="AG20">
        <f t="shared" si="53"/>
        <v>44.224746226950451</v>
      </c>
      <c r="AH20">
        <f t="shared" si="53"/>
        <v>48.448756385985739</v>
      </c>
      <c r="AI20">
        <f t="shared" si="53"/>
        <v>51.584748234598464</v>
      </c>
      <c r="AJ20">
        <f t="shared" si="53"/>
        <v>41.909702482312142</v>
      </c>
      <c r="AK20">
        <f t="shared" si="53"/>
        <v>49.932179196028763</v>
      </c>
      <c r="AL20">
        <f t="shared" si="53"/>
        <v>58.754600124744286</v>
      </c>
      <c r="AM20">
        <f t="shared" si="53"/>
        <v>59.798074505721424</v>
      </c>
      <c r="AN20">
        <f t="shared" ref="AN20:AO20" si="54">(AN15-AN14)/$B$20*100</f>
        <v>59.283878578712113</v>
      </c>
      <c r="AO20">
        <f t="shared" si="54"/>
        <v>59.006329810345683</v>
      </c>
      <c r="AP20">
        <f t="shared" ref="AP20:AQ20" si="55">(AP15-AP14)/$B$20*100</f>
        <v>61.170268063972074</v>
      </c>
      <c r="AQ20">
        <f t="shared" si="55"/>
        <v>61.872521208670662</v>
      </c>
      <c r="AR20">
        <f t="shared" ref="AR20:AS20" si="56">(AR15-AR14)/$B$20*100</f>
        <v>67.598491495765074</v>
      </c>
      <c r="AS20">
        <f t="shared" si="56"/>
        <v>72.724373993626784</v>
      </c>
      <c r="AT20">
        <f t="shared" ref="AT20:AU20" si="57">(AT15-AT14)/$B$20*100</f>
        <v>74.455692348075104</v>
      </c>
      <c r="AU20">
        <f t="shared" si="57"/>
        <v>68.152665187857167</v>
      </c>
      <c r="AV20">
        <f t="shared" ref="AV20:AW20" si="58">(AV15-AV14)/$B$20*100</f>
        <v>86.579061109812443</v>
      </c>
      <c r="AW20">
        <f t="shared" si="58"/>
        <v>106.14163248153368</v>
      </c>
      <c r="AX20">
        <f t="shared" ref="AX20" si="59">(AX15-AX14)/$B$20*100</f>
        <v>100</v>
      </c>
    </row>
    <row r="22" spans="1:50" x14ac:dyDescent="0.25">
      <c r="A22" t="s">
        <v>580</v>
      </c>
    </row>
    <row r="23" spans="1:50" x14ac:dyDescent="0.25">
      <c r="A23">
        <f ca="1">LARGE(Diagramm_Absolut_Jahreszahlen,1)</f>
        <v>2023</v>
      </c>
    </row>
    <row r="24" spans="1:50" x14ac:dyDescent="0.25">
      <c r="A24" t="s">
        <v>553</v>
      </c>
      <c r="F24" t="s">
        <v>554</v>
      </c>
    </row>
    <row r="25" spans="1:50" x14ac:dyDescent="0.25">
      <c r="A25">
        <v>1</v>
      </c>
      <c r="C25">
        <f>A25</f>
        <v>1</v>
      </c>
      <c r="F25">
        <v>1</v>
      </c>
      <c r="H25">
        <f>F25</f>
        <v>1</v>
      </c>
    </row>
    <row r="26" spans="1:50" x14ac:dyDescent="0.25">
      <c r="A26">
        <v>2</v>
      </c>
      <c r="B26" t="s">
        <v>559</v>
      </c>
      <c r="F26">
        <v>2</v>
      </c>
      <c r="G26" t="s">
        <v>559</v>
      </c>
    </row>
    <row r="27" spans="1:50" x14ac:dyDescent="0.25">
      <c r="A27">
        <v>3</v>
      </c>
      <c r="B27" t="s">
        <v>560</v>
      </c>
      <c r="F27">
        <v>3</v>
      </c>
      <c r="G27" t="s">
        <v>560</v>
      </c>
    </row>
    <row r="28" spans="1:50" x14ac:dyDescent="0.25">
      <c r="A28">
        <v>4</v>
      </c>
      <c r="B28">
        <f>VALUE(Tabelle_Abfrage_von_MS_Access_Database[[#Headers],[1978]])</f>
        <v>1978</v>
      </c>
      <c r="C28">
        <f t="shared" ref="C28:C62" si="60">A28</f>
        <v>4</v>
      </c>
      <c r="F28">
        <v>4</v>
      </c>
      <c r="G28">
        <f>VALUE(Tabelle_Abfrage_von_MS_Access_Database3[[#Headers],[1978]])</f>
        <v>1978</v>
      </c>
      <c r="H28">
        <f t="shared" ref="H28:H62" si="61">F28</f>
        <v>4</v>
      </c>
    </row>
    <row r="29" spans="1:50" x14ac:dyDescent="0.25">
      <c r="A29">
        <v>5</v>
      </c>
      <c r="B29">
        <f>VALUE(Tabelle_Abfrage_von_MS_Access_Database[[#Headers],[1979]])</f>
        <v>1979</v>
      </c>
      <c r="C29">
        <f t="shared" si="60"/>
        <v>5</v>
      </c>
      <c r="F29">
        <v>5</v>
      </c>
      <c r="G29">
        <f>VALUE(Tabelle_Abfrage_von_MS_Access_Database3[[#Headers],[1979]])</f>
        <v>1979</v>
      </c>
      <c r="H29">
        <f t="shared" si="61"/>
        <v>5</v>
      </c>
    </row>
    <row r="30" spans="1:50" x14ac:dyDescent="0.25">
      <c r="A30">
        <v>6</v>
      </c>
      <c r="B30">
        <f>VALUE(Tabelle_Abfrage_von_MS_Access_Database[[#Headers],[1980]])</f>
        <v>1980</v>
      </c>
      <c r="C30">
        <f t="shared" si="60"/>
        <v>6</v>
      </c>
      <c r="F30">
        <v>6</v>
      </c>
      <c r="G30">
        <f>VALUE(Tabelle_Abfrage_von_MS_Access_Database3[[#Headers],[1980]])</f>
        <v>1980</v>
      </c>
      <c r="H30">
        <f t="shared" si="61"/>
        <v>6</v>
      </c>
    </row>
    <row r="31" spans="1:50" x14ac:dyDescent="0.25">
      <c r="A31">
        <v>7</v>
      </c>
      <c r="B31">
        <f>VALUE(Tabelle_Abfrage_von_MS_Access_Database[[#Headers],[1981]])</f>
        <v>1981</v>
      </c>
      <c r="C31">
        <f t="shared" si="60"/>
        <v>7</v>
      </c>
      <c r="F31">
        <v>7</v>
      </c>
      <c r="G31">
        <f>VALUE(Tabelle_Abfrage_von_MS_Access_Database3[[#Headers],[1981]])</f>
        <v>1981</v>
      </c>
      <c r="H31">
        <f t="shared" si="61"/>
        <v>7</v>
      </c>
    </row>
    <row r="32" spans="1:50" x14ac:dyDescent="0.25">
      <c r="A32">
        <v>8</v>
      </c>
      <c r="B32">
        <f>VALUE(Tabelle_Abfrage_von_MS_Access_Database[[#Headers],[1982]])</f>
        <v>1982</v>
      </c>
      <c r="C32">
        <f t="shared" si="60"/>
        <v>8</v>
      </c>
      <c r="F32">
        <v>8</v>
      </c>
      <c r="G32">
        <f>VALUE(Tabelle_Abfrage_von_MS_Access_Database3[[#Headers],[1982]])</f>
        <v>1982</v>
      </c>
      <c r="H32">
        <f t="shared" si="61"/>
        <v>8</v>
      </c>
    </row>
    <row r="33" spans="1:8" x14ac:dyDescent="0.25">
      <c r="A33">
        <v>9</v>
      </c>
      <c r="B33">
        <f>VALUE(Tabelle_Abfrage_von_MS_Access_Database[[#Headers],[1983]])</f>
        <v>1983</v>
      </c>
      <c r="C33">
        <f t="shared" si="60"/>
        <v>9</v>
      </c>
      <c r="F33">
        <v>9</v>
      </c>
      <c r="G33">
        <f>VALUE(Tabelle_Abfrage_von_MS_Access_Database3[[#Headers],[1983]])</f>
        <v>1983</v>
      </c>
      <c r="H33">
        <f t="shared" si="61"/>
        <v>9</v>
      </c>
    </row>
    <row r="34" spans="1:8" x14ac:dyDescent="0.25">
      <c r="A34">
        <v>10</v>
      </c>
      <c r="B34">
        <f>VALUE(Tabelle_Abfrage_von_MS_Access_Database[[#Headers],[1984]])</f>
        <v>1984</v>
      </c>
      <c r="C34">
        <f t="shared" si="60"/>
        <v>10</v>
      </c>
      <c r="F34">
        <v>10</v>
      </c>
      <c r="G34">
        <f>VALUE(Tabelle_Abfrage_von_MS_Access_Database3[[#Headers],[1984]])</f>
        <v>1984</v>
      </c>
      <c r="H34">
        <f t="shared" si="61"/>
        <v>10</v>
      </c>
    </row>
    <row r="35" spans="1:8" x14ac:dyDescent="0.25">
      <c r="A35">
        <v>11</v>
      </c>
      <c r="B35">
        <f>VALUE(Tabelle_Abfrage_von_MS_Access_Database[[#Headers],[1985]])</f>
        <v>1985</v>
      </c>
      <c r="C35">
        <f t="shared" si="60"/>
        <v>11</v>
      </c>
      <c r="F35">
        <v>11</v>
      </c>
      <c r="G35">
        <f>VALUE(Tabelle_Abfrage_von_MS_Access_Database3[[#Headers],[1985]])</f>
        <v>1985</v>
      </c>
      <c r="H35">
        <f t="shared" si="61"/>
        <v>11</v>
      </c>
    </row>
    <row r="36" spans="1:8" x14ac:dyDescent="0.25">
      <c r="A36">
        <v>12</v>
      </c>
      <c r="B36">
        <f>VALUE(Tabelle_Abfrage_von_MS_Access_Database[[#Headers],[1986]])</f>
        <v>1986</v>
      </c>
      <c r="C36">
        <f t="shared" si="60"/>
        <v>12</v>
      </c>
      <c r="F36">
        <v>12</v>
      </c>
      <c r="G36">
        <f>VALUE(Tabelle_Abfrage_von_MS_Access_Database3[[#Headers],[1986]])</f>
        <v>1986</v>
      </c>
      <c r="H36">
        <f t="shared" si="61"/>
        <v>12</v>
      </c>
    </row>
    <row r="37" spans="1:8" x14ac:dyDescent="0.25">
      <c r="A37">
        <v>13</v>
      </c>
      <c r="B37">
        <f>VALUE(Tabelle_Abfrage_von_MS_Access_Database[[#Headers],[1987]])</f>
        <v>1987</v>
      </c>
      <c r="C37">
        <f t="shared" si="60"/>
        <v>13</v>
      </c>
      <c r="F37">
        <v>13</v>
      </c>
      <c r="G37">
        <f>VALUE(Tabelle_Abfrage_von_MS_Access_Database3[[#Headers],[1987]])</f>
        <v>1987</v>
      </c>
      <c r="H37">
        <f t="shared" si="61"/>
        <v>13</v>
      </c>
    </row>
    <row r="38" spans="1:8" x14ac:dyDescent="0.25">
      <c r="A38">
        <v>14</v>
      </c>
      <c r="B38">
        <f>VALUE(Tabelle_Abfrage_von_MS_Access_Database[[#Headers],[1988]])</f>
        <v>1988</v>
      </c>
      <c r="C38">
        <f t="shared" si="60"/>
        <v>14</v>
      </c>
      <c r="F38">
        <v>14</v>
      </c>
      <c r="G38">
        <f>VALUE(Tabelle_Abfrage_von_MS_Access_Database3[[#Headers],[1988]])</f>
        <v>1988</v>
      </c>
      <c r="H38">
        <f t="shared" si="61"/>
        <v>14</v>
      </c>
    </row>
    <row r="39" spans="1:8" x14ac:dyDescent="0.25">
      <c r="A39">
        <v>15</v>
      </c>
      <c r="B39">
        <f>VALUE(Tabelle_Abfrage_von_MS_Access_Database[[#Headers],[1989]])</f>
        <v>1989</v>
      </c>
      <c r="C39">
        <f t="shared" si="60"/>
        <v>15</v>
      </c>
      <c r="F39">
        <v>15</v>
      </c>
      <c r="G39">
        <f>VALUE(Tabelle_Abfrage_von_MS_Access_Database3[[#Headers],[1989]])</f>
        <v>1989</v>
      </c>
      <c r="H39">
        <f t="shared" si="61"/>
        <v>15</v>
      </c>
    </row>
    <row r="40" spans="1:8" x14ac:dyDescent="0.25">
      <c r="A40">
        <v>16</v>
      </c>
      <c r="B40">
        <f>VALUE(Tabelle_Abfrage_von_MS_Access_Database[[#Headers],[1990]])</f>
        <v>1990</v>
      </c>
      <c r="C40">
        <f t="shared" si="60"/>
        <v>16</v>
      </c>
      <c r="F40">
        <v>16</v>
      </c>
      <c r="G40">
        <f>VALUE(Tabelle_Abfrage_von_MS_Access_Database3[[#Headers],[1990]])</f>
        <v>1990</v>
      </c>
      <c r="H40">
        <f t="shared" si="61"/>
        <v>16</v>
      </c>
    </row>
    <row r="41" spans="1:8" x14ac:dyDescent="0.25">
      <c r="A41">
        <v>17</v>
      </c>
      <c r="B41">
        <f>VALUE(Tabelle_Abfrage_von_MS_Access_Database[[#Headers],[1991]])</f>
        <v>1991</v>
      </c>
      <c r="C41">
        <f t="shared" si="60"/>
        <v>17</v>
      </c>
      <c r="F41">
        <v>17</v>
      </c>
      <c r="G41">
        <f>VALUE(Tabelle_Abfrage_von_MS_Access_Database3[[#Headers],[1991]])</f>
        <v>1991</v>
      </c>
      <c r="H41">
        <f t="shared" si="61"/>
        <v>17</v>
      </c>
    </row>
    <row r="42" spans="1:8" x14ac:dyDescent="0.25">
      <c r="A42">
        <v>18</v>
      </c>
      <c r="B42">
        <f>VALUE(Tabelle_Abfrage_von_MS_Access_Database[[#Headers],[1992]])</f>
        <v>1992</v>
      </c>
      <c r="C42">
        <f t="shared" si="60"/>
        <v>18</v>
      </c>
      <c r="F42">
        <v>18</v>
      </c>
      <c r="G42">
        <f>VALUE(Tabelle_Abfrage_von_MS_Access_Database3[[#Headers],[1992]])</f>
        <v>1992</v>
      </c>
      <c r="H42">
        <f t="shared" si="61"/>
        <v>18</v>
      </c>
    </row>
    <row r="43" spans="1:8" x14ac:dyDescent="0.25">
      <c r="A43">
        <v>19</v>
      </c>
      <c r="B43">
        <f>VALUE(Tabelle_Abfrage_von_MS_Access_Database[[#Headers],[1993]])</f>
        <v>1993</v>
      </c>
      <c r="C43">
        <f t="shared" si="60"/>
        <v>19</v>
      </c>
      <c r="F43">
        <v>19</v>
      </c>
      <c r="G43">
        <f>VALUE(Tabelle_Abfrage_von_MS_Access_Database3[[#Headers],[1993]])</f>
        <v>1993</v>
      </c>
      <c r="H43">
        <f t="shared" si="61"/>
        <v>19</v>
      </c>
    </row>
    <row r="44" spans="1:8" x14ac:dyDescent="0.25">
      <c r="A44">
        <v>20</v>
      </c>
      <c r="B44">
        <f>VALUE(Tabelle_Abfrage_von_MS_Access_Database[[#Headers],[1994]])</f>
        <v>1994</v>
      </c>
      <c r="C44">
        <f t="shared" si="60"/>
        <v>20</v>
      </c>
      <c r="F44">
        <v>20</v>
      </c>
      <c r="G44">
        <f>VALUE(Tabelle_Abfrage_von_MS_Access_Database3[[#Headers],[1994]])</f>
        <v>1994</v>
      </c>
      <c r="H44">
        <f t="shared" si="61"/>
        <v>20</v>
      </c>
    </row>
    <row r="45" spans="1:8" x14ac:dyDescent="0.25">
      <c r="A45">
        <v>21</v>
      </c>
      <c r="B45">
        <f>VALUE(Tabelle_Abfrage_von_MS_Access_Database[[#Headers],[1995]])</f>
        <v>1995</v>
      </c>
      <c r="C45">
        <f t="shared" si="60"/>
        <v>21</v>
      </c>
      <c r="F45">
        <v>21</v>
      </c>
      <c r="G45">
        <f>VALUE(Tabelle_Abfrage_von_MS_Access_Database3[[#Headers],[1995]])</f>
        <v>1995</v>
      </c>
      <c r="H45">
        <f t="shared" si="61"/>
        <v>21</v>
      </c>
    </row>
    <row r="46" spans="1:8" x14ac:dyDescent="0.25">
      <c r="A46">
        <v>22</v>
      </c>
      <c r="B46">
        <f>VALUE(Tabelle_Abfrage_von_MS_Access_Database[[#Headers],[1996]])</f>
        <v>1996</v>
      </c>
      <c r="C46">
        <f t="shared" si="60"/>
        <v>22</v>
      </c>
      <c r="F46">
        <v>22</v>
      </c>
      <c r="G46">
        <f>VALUE(Tabelle_Abfrage_von_MS_Access_Database3[[#Headers],[1996]])</f>
        <v>1996</v>
      </c>
      <c r="H46">
        <f t="shared" si="61"/>
        <v>22</v>
      </c>
    </row>
    <row r="47" spans="1:8" x14ac:dyDescent="0.25">
      <c r="A47">
        <v>23</v>
      </c>
      <c r="B47">
        <f>VALUE(Tabelle_Abfrage_von_MS_Access_Database[[#Headers],[1997]])</f>
        <v>1997</v>
      </c>
      <c r="C47">
        <f t="shared" si="60"/>
        <v>23</v>
      </c>
      <c r="F47">
        <v>23</v>
      </c>
      <c r="G47">
        <f>VALUE(Tabelle_Abfrage_von_MS_Access_Database3[[#Headers],[1997]])</f>
        <v>1997</v>
      </c>
      <c r="H47">
        <f t="shared" si="61"/>
        <v>23</v>
      </c>
    </row>
    <row r="48" spans="1:8" x14ac:dyDescent="0.25">
      <c r="A48">
        <v>24</v>
      </c>
      <c r="B48">
        <f>VALUE(Tabelle_Abfrage_von_MS_Access_Database[[#Headers],[1998]])</f>
        <v>1998</v>
      </c>
      <c r="C48">
        <f t="shared" si="60"/>
        <v>24</v>
      </c>
      <c r="F48">
        <v>24</v>
      </c>
      <c r="G48">
        <f>VALUE(Tabelle_Abfrage_von_MS_Access_Database3[[#Headers],[1998]])</f>
        <v>1998</v>
      </c>
      <c r="H48">
        <f t="shared" si="61"/>
        <v>24</v>
      </c>
    </row>
    <row r="49" spans="1:8" x14ac:dyDescent="0.25">
      <c r="A49">
        <v>25</v>
      </c>
      <c r="B49">
        <f>VALUE(Tabelle_Abfrage_von_MS_Access_Database[[#Headers],[1999]])</f>
        <v>1999</v>
      </c>
      <c r="C49">
        <f t="shared" si="60"/>
        <v>25</v>
      </c>
      <c r="F49">
        <v>25</v>
      </c>
      <c r="G49">
        <f>VALUE(Tabelle_Abfrage_von_MS_Access_Database3[[#Headers],[1999]])</f>
        <v>1999</v>
      </c>
      <c r="H49">
        <f t="shared" si="61"/>
        <v>25</v>
      </c>
    </row>
    <row r="50" spans="1:8" x14ac:dyDescent="0.25">
      <c r="A50">
        <v>26</v>
      </c>
      <c r="B50">
        <f>VALUE(Tabelle_Abfrage_von_MS_Access_Database[[#Headers],[2000]])</f>
        <v>2000</v>
      </c>
      <c r="C50">
        <f t="shared" si="60"/>
        <v>26</v>
      </c>
      <c r="F50">
        <v>26</v>
      </c>
      <c r="G50">
        <f>VALUE(Tabelle_Abfrage_von_MS_Access_Database3[[#Headers],[2000]])</f>
        <v>2000</v>
      </c>
      <c r="H50">
        <f t="shared" si="61"/>
        <v>26</v>
      </c>
    </row>
    <row r="51" spans="1:8" x14ac:dyDescent="0.25">
      <c r="A51">
        <v>27</v>
      </c>
      <c r="B51">
        <f>VALUE(Tabelle_Abfrage_von_MS_Access_Database[[#Headers],[2001]])</f>
        <v>2001</v>
      </c>
      <c r="C51">
        <f t="shared" si="60"/>
        <v>27</v>
      </c>
      <c r="F51">
        <v>27</v>
      </c>
      <c r="G51">
        <f>VALUE(Tabelle_Abfrage_von_MS_Access_Database3[[#Headers],[2001]])</f>
        <v>2001</v>
      </c>
      <c r="H51">
        <f t="shared" si="61"/>
        <v>27</v>
      </c>
    </row>
    <row r="52" spans="1:8" x14ac:dyDescent="0.25">
      <c r="A52">
        <v>28</v>
      </c>
      <c r="B52">
        <f>VALUE(Tabelle_Abfrage_von_MS_Access_Database[[#Headers],[2002]])</f>
        <v>2002</v>
      </c>
      <c r="C52">
        <f t="shared" si="60"/>
        <v>28</v>
      </c>
      <c r="F52">
        <v>28</v>
      </c>
      <c r="G52">
        <f>VALUE(Tabelle_Abfrage_von_MS_Access_Database3[[#Headers],[2002]])</f>
        <v>2002</v>
      </c>
      <c r="H52">
        <f t="shared" si="61"/>
        <v>28</v>
      </c>
    </row>
    <row r="53" spans="1:8" x14ac:dyDescent="0.25">
      <c r="A53">
        <v>29</v>
      </c>
      <c r="B53">
        <f>VALUE(Tabelle_Abfrage_von_MS_Access_Database[[#Headers],[2003]])</f>
        <v>2003</v>
      </c>
      <c r="C53">
        <f t="shared" si="60"/>
        <v>29</v>
      </c>
      <c r="F53">
        <v>29</v>
      </c>
      <c r="G53">
        <f>VALUE(Tabelle_Abfrage_von_MS_Access_Database3[[#Headers],[2003]])</f>
        <v>2003</v>
      </c>
      <c r="H53">
        <f t="shared" si="61"/>
        <v>29</v>
      </c>
    </row>
    <row r="54" spans="1:8" x14ac:dyDescent="0.25">
      <c r="A54">
        <v>30</v>
      </c>
      <c r="B54">
        <f>VALUE(Tabelle_Abfrage_von_MS_Access_Database[[#Headers],[2004]])</f>
        <v>2004</v>
      </c>
      <c r="C54">
        <f t="shared" si="60"/>
        <v>30</v>
      </c>
      <c r="F54">
        <v>30</v>
      </c>
      <c r="G54">
        <f>VALUE(Tabelle_Abfrage_von_MS_Access_Database3[[#Headers],[2004]])</f>
        <v>2004</v>
      </c>
      <c r="H54">
        <f t="shared" si="61"/>
        <v>30</v>
      </c>
    </row>
    <row r="55" spans="1:8" x14ac:dyDescent="0.25">
      <c r="A55">
        <v>31</v>
      </c>
      <c r="B55">
        <f>VALUE(Tabelle_Abfrage_von_MS_Access_Database[[#Headers],[2005]])</f>
        <v>2005</v>
      </c>
      <c r="C55">
        <f t="shared" si="60"/>
        <v>31</v>
      </c>
      <c r="F55">
        <v>31</v>
      </c>
      <c r="G55">
        <f>VALUE(Tabelle_Abfrage_von_MS_Access_Database3[[#Headers],[2005]])</f>
        <v>2005</v>
      </c>
      <c r="H55">
        <f t="shared" si="61"/>
        <v>31</v>
      </c>
    </row>
    <row r="56" spans="1:8" x14ac:dyDescent="0.25">
      <c r="A56">
        <v>32</v>
      </c>
      <c r="B56">
        <f>VALUE(Tabelle_Abfrage_von_MS_Access_Database[[#Headers],[2006]])</f>
        <v>2006</v>
      </c>
      <c r="C56">
        <f t="shared" si="60"/>
        <v>32</v>
      </c>
      <c r="F56">
        <v>32</v>
      </c>
      <c r="G56">
        <f>VALUE(Tabelle_Abfrage_von_MS_Access_Database3[[#Headers],[2006]])</f>
        <v>2006</v>
      </c>
      <c r="H56">
        <f t="shared" si="61"/>
        <v>32</v>
      </c>
    </row>
    <row r="57" spans="1:8" x14ac:dyDescent="0.25">
      <c r="A57">
        <v>33</v>
      </c>
      <c r="B57">
        <f>VALUE(Tabelle_Abfrage_von_MS_Access_Database[[#Headers],[2007]])</f>
        <v>2007</v>
      </c>
      <c r="C57">
        <f t="shared" si="60"/>
        <v>33</v>
      </c>
      <c r="F57">
        <v>33</v>
      </c>
      <c r="G57">
        <f>VALUE(Tabelle_Abfrage_von_MS_Access_Database3[[#Headers],[2007]])</f>
        <v>2007</v>
      </c>
      <c r="H57">
        <f t="shared" si="61"/>
        <v>33</v>
      </c>
    </row>
    <row r="58" spans="1:8" x14ac:dyDescent="0.25">
      <c r="A58">
        <v>34</v>
      </c>
      <c r="B58">
        <f>VALUE(Tabelle_Abfrage_von_MS_Access_Database[[#Headers],[2008]])</f>
        <v>2008</v>
      </c>
      <c r="C58">
        <f t="shared" si="60"/>
        <v>34</v>
      </c>
      <c r="F58">
        <v>34</v>
      </c>
      <c r="G58">
        <f>VALUE(Tabelle_Abfrage_von_MS_Access_Database3[[#Headers],[2008]])</f>
        <v>2008</v>
      </c>
      <c r="H58">
        <f t="shared" si="61"/>
        <v>34</v>
      </c>
    </row>
    <row r="59" spans="1:8" x14ac:dyDescent="0.25">
      <c r="A59">
        <v>35</v>
      </c>
      <c r="B59">
        <f>VALUE(Tabelle_Abfrage_von_MS_Access_Database[[#Headers],[2009]])</f>
        <v>2009</v>
      </c>
      <c r="C59">
        <f t="shared" si="60"/>
        <v>35</v>
      </c>
      <c r="F59">
        <v>35</v>
      </c>
      <c r="G59">
        <f>VALUE(Tabelle_Abfrage_von_MS_Access_Database3[[#Headers],[2009]])</f>
        <v>2009</v>
      </c>
      <c r="H59">
        <f t="shared" si="61"/>
        <v>35</v>
      </c>
    </row>
    <row r="60" spans="1:8" x14ac:dyDescent="0.25">
      <c r="A60">
        <v>36</v>
      </c>
      <c r="B60">
        <f>VALUE(Tabelle_Abfrage_von_MS_Access_Database[[#Headers],[2010]])</f>
        <v>2010</v>
      </c>
      <c r="C60">
        <f t="shared" si="60"/>
        <v>36</v>
      </c>
      <c r="F60">
        <v>36</v>
      </c>
      <c r="G60">
        <f>VALUE(Tabelle_Abfrage_von_MS_Access_Database3[[#Headers],[2010]])</f>
        <v>2010</v>
      </c>
      <c r="H60">
        <f t="shared" si="61"/>
        <v>36</v>
      </c>
    </row>
    <row r="61" spans="1:8" x14ac:dyDescent="0.25">
      <c r="A61">
        <v>37</v>
      </c>
      <c r="B61">
        <f>VALUE(Tabelle_Abfrage_von_MS_Access_Database[[#Headers],[2011]])</f>
        <v>2011</v>
      </c>
      <c r="C61">
        <f t="shared" si="60"/>
        <v>37</v>
      </c>
      <c r="F61">
        <v>37</v>
      </c>
      <c r="G61">
        <f>VALUE(Tabelle_Abfrage_von_MS_Access_Database3[[#Headers],[2011]])</f>
        <v>2011</v>
      </c>
      <c r="H61">
        <f t="shared" si="61"/>
        <v>37</v>
      </c>
    </row>
    <row r="62" spans="1:8" x14ac:dyDescent="0.25">
      <c r="A62">
        <v>38</v>
      </c>
      <c r="B62">
        <f>VALUE(Tabelle_Abfrage_von_MS_Access_Database[[#Headers],[2012]])</f>
        <v>2012</v>
      </c>
      <c r="C62">
        <f t="shared" si="60"/>
        <v>38</v>
      </c>
      <c r="F62">
        <v>38</v>
      </c>
      <c r="G62">
        <f>VALUE(Tabelle_Abfrage_von_MS_Access_Database3[[#Headers],[2012]])</f>
        <v>2012</v>
      </c>
      <c r="H62">
        <f t="shared" si="61"/>
        <v>38</v>
      </c>
    </row>
    <row r="63" spans="1:8" x14ac:dyDescent="0.25">
      <c r="A63">
        <v>39</v>
      </c>
      <c r="B63">
        <f>VALUE(Tabelle_Abfrage_von_MS_Access_Database[[#Headers],[2013]])</f>
        <v>2013</v>
      </c>
      <c r="C63">
        <f t="shared" ref="C63:C64" si="62">A63</f>
        <v>39</v>
      </c>
      <c r="F63">
        <v>39</v>
      </c>
      <c r="G63">
        <f>VALUE(Tabelle_Abfrage_von_MS_Access_Database3[[#Headers],[2013]])</f>
        <v>2013</v>
      </c>
      <c r="H63">
        <f t="shared" ref="H63:H64" si="63">F63</f>
        <v>39</v>
      </c>
    </row>
    <row r="64" spans="1:8" x14ac:dyDescent="0.25">
      <c r="A64">
        <v>40</v>
      </c>
      <c r="B64">
        <f>VALUE(Tabelle_Abfrage_von_MS_Access_Database[[#Headers],[2014]])</f>
        <v>2014</v>
      </c>
      <c r="C64">
        <f t="shared" si="62"/>
        <v>40</v>
      </c>
      <c r="F64">
        <v>40</v>
      </c>
      <c r="G64">
        <f>VALUE(Tabelle_Abfrage_von_MS_Access_Database3[[#Headers],[2014]])</f>
        <v>2014</v>
      </c>
      <c r="H64">
        <f t="shared" si="63"/>
        <v>40</v>
      </c>
    </row>
    <row r="65" spans="1:8" x14ac:dyDescent="0.25">
      <c r="A65">
        <v>41</v>
      </c>
      <c r="B65">
        <f>VALUE(Tabelle_Abfrage_von_MS_Access_Database[[#Headers],[2015]])</f>
        <v>2015</v>
      </c>
      <c r="C65">
        <f t="shared" ref="C65:C67" si="64">A65</f>
        <v>41</v>
      </c>
      <c r="F65">
        <v>41</v>
      </c>
      <c r="G65">
        <f>VALUE(Tabelle_Abfrage_von_MS_Access_Database3[[#Headers],[2015]])</f>
        <v>2015</v>
      </c>
      <c r="H65">
        <f t="shared" ref="H65:H66" si="65">F65</f>
        <v>41</v>
      </c>
    </row>
    <row r="66" spans="1:8" x14ac:dyDescent="0.25">
      <c r="A66">
        <v>42</v>
      </c>
      <c r="B66">
        <f>VALUE(Tabelle_Abfrage_von_MS_Access_Database[[#Headers],[2016]])</f>
        <v>2016</v>
      </c>
      <c r="C66">
        <f t="shared" si="64"/>
        <v>42</v>
      </c>
      <c r="F66">
        <v>42</v>
      </c>
      <c r="G66">
        <f>VALUE(Tabelle_Abfrage_von_MS_Access_Database3[[#Headers],[2016]])</f>
        <v>2016</v>
      </c>
      <c r="H66">
        <f t="shared" si="65"/>
        <v>42</v>
      </c>
    </row>
    <row r="67" spans="1:8" x14ac:dyDescent="0.25">
      <c r="A67">
        <v>43</v>
      </c>
      <c r="B67">
        <f>VALUE(Tabelle_Abfrage_von_MS_Access_Database[[#Headers],[2017]])</f>
        <v>2017</v>
      </c>
      <c r="C67">
        <f t="shared" si="64"/>
        <v>43</v>
      </c>
      <c r="F67">
        <v>43</v>
      </c>
      <c r="G67">
        <f>VALUE(Tabelle_Abfrage_von_MS_Access_Database3[[#Headers],[2017]])</f>
        <v>2017</v>
      </c>
      <c r="H67">
        <f t="shared" ref="H67:H69" si="66">F67</f>
        <v>43</v>
      </c>
    </row>
    <row r="68" spans="1:8" x14ac:dyDescent="0.25">
      <c r="A68">
        <v>44</v>
      </c>
      <c r="B68">
        <f>VALUE(Tabelle_Abfrage_von_MS_Access_Database[[#Headers],[2018]])</f>
        <v>2018</v>
      </c>
      <c r="C68">
        <f t="shared" ref="C68:C70" si="67">A68</f>
        <v>44</v>
      </c>
      <c r="F68">
        <v>44</v>
      </c>
      <c r="G68">
        <f>VALUE(Tabelle_Abfrage_von_MS_Access_Database3[[#Headers],[2018]])</f>
        <v>2018</v>
      </c>
      <c r="H68">
        <f t="shared" si="66"/>
        <v>44</v>
      </c>
    </row>
    <row r="69" spans="1:8" x14ac:dyDescent="0.25">
      <c r="A69">
        <v>45</v>
      </c>
      <c r="B69">
        <f>VALUE(Tabelle_Abfrage_von_MS_Access_Database[[#Headers],[2019]])</f>
        <v>2019</v>
      </c>
      <c r="C69">
        <f t="shared" si="67"/>
        <v>45</v>
      </c>
      <c r="F69">
        <v>45</v>
      </c>
      <c r="G69">
        <f>VALUE(Tabelle_Abfrage_von_MS_Access_Database3[[#Headers],[2019]])</f>
        <v>2019</v>
      </c>
      <c r="H69">
        <f t="shared" si="66"/>
        <v>45</v>
      </c>
    </row>
    <row r="70" spans="1:8" x14ac:dyDescent="0.25">
      <c r="A70">
        <v>46</v>
      </c>
      <c r="B70">
        <f>VALUE(Tabelle_Abfrage_von_MS_Access_Database[[#Headers],[2020]])</f>
        <v>2020</v>
      </c>
      <c r="C70">
        <f t="shared" si="67"/>
        <v>46</v>
      </c>
      <c r="F70">
        <v>46</v>
      </c>
      <c r="G70">
        <f>VALUE(Tabelle_Abfrage_von_MS_Access_Database3[[#Headers],[2020]])</f>
        <v>2020</v>
      </c>
      <c r="H70">
        <f t="shared" ref="H70:H73" si="68">F70</f>
        <v>46</v>
      </c>
    </row>
    <row r="71" spans="1:8" x14ac:dyDescent="0.25">
      <c r="A71">
        <v>47</v>
      </c>
      <c r="B71">
        <f>VALUE(Tabelle_Abfrage_von_MS_Access_Database[[#Headers],[2021]])</f>
        <v>2021</v>
      </c>
      <c r="C71">
        <f t="shared" ref="C71:C73" si="69">A71</f>
        <v>47</v>
      </c>
      <c r="F71">
        <v>47</v>
      </c>
      <c r="G71">
        <f>VALUE(Tabelle_Abfrage_von_MS_Access_Database3[[#Headers],[2021]])</f>
        <v>2021</v>
      </c>
      <c r="H71">
        <f t="shared" si="68"/>
        <v>47</v>
      </c>
    </row>
    <row r="72" spans="1:8" x14ac:dyDescent="0.25">
      <c r="A72">
        <v>48</v>
      </c>
      <c r="B72">
        <f>VALUE(Tabelle_Abfrage_von_MS_Access_Database[[#Headers],[2022]])</f>
        <v>2022</v>
      </c>
      <c r="C72">
        <f t="shared" si="69"/>
        <v>48</v>
      </c>
      <c r="F72">
        <v>48</v>
      </c>
      <c r="G72">
        <f>VALUE(Tabelle_Abfrage_von_MS_Access_Database3[[#Headers],[2022]])</f>
        <v>2022</v>
      </c>
      <c r="H72">
        <f t="shared" si="68"/>
        <v>48</v>
      </c>
    </row>
    <row r="73" spans="1:8" x14ac:dyDescent="0.25">
      <c r="A73">
        <v>49</v>
      </c>
      <c r="B73">
        <f>VALUE(Tabelle_Abfrage_von_MS_Access_Database[[#Headers],[2023]])</f>
        <v>2023</v>
      </c>
      <c r="C73">
        <f t="shared" si="69"/>
        <v>49</v>
      </c>
      <c r="F73">
        <v>49</v>
      </c>
      <c r="G73">
        <f>VALUE(Tabelle_Abfrage_von_MS_Access_Database3[[#Headers],[2023]])</f>
        <v>2023</v>
      </c>
      <c r="H73">
        <f t="shared" si="68"/>
        <v>49</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BG264"/>
  <sheetViews>
    <sheetView workbookViewId="0"/>
  </sheetViews>
  <sheetFormatPr baseColWidth="10" defaultRowHeight="12.5" x14ac:dyDescent="0.25"/>
  <cols>
    <col min="1" max="1" width="12.453125" bestFit="1" customWidth="1"/>
    <col min="5" max="5" width="12.453125" bestFit="1" customWidth="1"/>
    <col min="10" max="10" width="12" bestFit="1" customWidth="1"/>
    <col min="11" max="11" width="12.453125" bestFit="1" customWidth="1"/>
    <col min="12" max="13" width="12.453125" customWidth="1"/>
    <col min="17" max="17" width="12" bestFit="1" customWidth="1"/>
    <col min="50" max="50" width="12" bestFit="1" customWidth="1"/>
  </cols>
  <sheetData>
    <row r="1" spans="1:59" x14ac:dyDescent="0.25">
      <c r="A1">
        <f>LOOKUP(Auswahl_Jahr,Export_Jahreszahlen,Export_Spaltenindex)</f>
        <v>49</v>
      </c>
      <c r="B1" t="s">
        <v>545</v>
      </c>
      <c r="E1">
        <f>LOOKUP(Auswahl_Jahr,Export_Jahreszahlen,Export_Spaltenindex)</f>
        <v>49</v>
      </c>
      <c r="F1" t="s">
        <v>544</v>
      </c>
      <c r="L1">
        <v>2</v>
      </c>
      <c r="M1">
        <v>3</v>
      </c>
      <c r="N1">
        <v>4</v>
      </c>
      <c r="O1">
        <v>5</v>
      </c>
      <c r="P1">
        <v>6</v>
      </c>
      <c r="Q1">
        <v>7</v>
      </c>
      <c r="R1">
        <v>8</v>
      </c>
      <c r="S1">
        <v>9</v>
      </c>
      <c r="T1">
        <v>10</v>
      </c>
      <c r="U1">
        <v>11</v>
      </c>
      <c r="V1">
        <v>12</v>
      </c>
      <c r="W1">
        <v>13</v>
      </c>
      <c r="X1">
        <v>14</v>
      </c>
      <c r="Y1">
        <v>15</v>
      </c>
      <c r="Z1">
        <v>16</v>
      </c>
      <c r="AA1">
        <v>17</v>
      </c>
      <c r="AB1">
        <v>18</v>
      </c>
      <c r="AC1">
        <v>19</v>
      </c>
      <c r="AD1">
        <v>20</v>
      </c>
      <c r="AE1">
        <v>21</v>
      </c>
      <c r="AF1">
        <v>22</v>
      </c>
      <c r="AG1">
        <v>23</v>
      </c>
      <c r="AH1">
        <v>24</v>
      </c>
      <c r="AI1">
        <v>25</v>
      </c>
      <c r="AJ1">
        <v>26</v>
      </c>
      <c r="AK1">
        <v>27</v>
      </c>
      <c r="AL1">
        <v>28</v>
      </c>
      <c r="AM1">
        <v>29</v>
      </c>
      <c r="AN1">
        <v>30</v>
      </c>
      <c r="AO1">
        <v>31</v>
      </c>
      <c r="AP1">
        <v>32</v>
      </c>
      <c r="AQ1">
        <v>33</v>
      </c>
      <c r="AR1">
        <v>34</v>
      </c>
      <c r="AS1">
        <v>35</v>
      </c>
      <c r="AT1">
        <v>36</v>
      </c>
      <c r="AU1">
        <v>37</v>
      </c>
      <c r="AV1">
        <v>38</v>
      </c>
      <c r="AW1">
        <v>39</v>
      </c>
      <c r="AX1">
        <v>40</v>
      </c>
      <c r="AY1">
        <v>41</v>
      </c>
      <c r="AZ1">
        <v>42</v>
      </c>
      <c r="BA1">
        <v>43</v>
      </c>
      <c r="BB1">
        <v>44</v>
      </c>
      <c r="BC1">
        <v>45</v>
      </c>
      <c r="BD1">
        <v>46</v>
      </c>
      <c r="BE1">
        <v>47</v>
      </c>
      <c r="BF1">
        <v>48</v>
      </c>
      <c r="BG1">
        <v>49</v>
      </c>
    </row>
    <row r="2" spans="1:59" x14ac:dyDescent="0.25">
      <c r="A2">
        <f>Auswahl_Jahr</f>
        <v>2023</v>
      </c>
      <c r="B2" t="str">
        <f>Export!A1</f>
        <v>LAND</v>
      </c>
      <c r="C2" t="str">
        <f>Export!B1</f>
        <v>Partnerland</v>
      </c>
      <c r="E2">
        <f>Auswahl_Jahr</f>
        <v>2023</v>
      </c>
      <c r="F2" t="str">
        <f>Import!A1</f>
        <v>LAND</v>
      </c>
      <c r="G2" t="str">
        <f>Import!B1</f>
        <v>Partnerland</v>
      </c>
      <c r="J2" t="s">
        <v>547</v>
      </c>
      <c r="K2">
        <f>Auswahl_Jahr</f>
        <v>2023</v>
      </c>
      <c r="L2" t="s">
        <v>559</v>
      </c>
      <c r="M2" t="s">
        <v>560</v>
      </c>
      <c r="N2">
        <f>VALUE(Tabelle_Abfrage_von_MS_Access_Database[[#Headers],[1978]])</f>
        <v>1978</v>
      </c>
      <c r="O2">
        <f>VALUE(Tabelle_Abfrage_von_MS_Access_Database[[#Headers],[1979]])</f>
        <v>1979</v>
      </c>
      <c r="P2">
        <f>VALUE(Tabelle_Abfrage_von_MS_Access_Database[[#Headers],[1980]])</f>
        <v>1980</v>
      </c>
      <c r="Q2">
        <f>VALUE(Tabelle_Abfrage_von_MS_Access_Database[[#Headers],[1981]])</f>
        <v>1981</v>
      </c>
      <c r="R2">
        <f>VALUE(Tabelle_Abfrage_von_MS_Access_Database[[#Headers],[1982]])</f>
        <v>1982</v>
      </c>
      <c r="S2">
        <f>VALUE(Tabelle_Abfrage_von_MS_Access_Database[[#Headers],[1983]])</f>
        <v>1983</v>
      </c>
      <c r="T2">
        <f>VALUE(Tabelle_Abfrage_von_MS_Access_Database[[#Headers],[1984]])</f>
        <v>1984</v>
      </c>
      <c r="U2">
        <f>VALUE(Tabelle_Abfrage_von_MS_Access_Database[[#Headers],[1985]])</f>
        <v>1985</v>
      </c>
      <c r="V2">
        <f>VALUE(Tabelle_Abfrage_von_MS_Access_Database[[#Headers],[1986]])</f>
        <v>1986</v>
      </c>
      <c r="W2">
        <f>VALUE(Tabelle_Abfrage_von_MS_Access_Database[[#Headers],[1987]])</f>
        <v>1987</v>
      </c>
      <c r="X2">
        <f>VALUE(Tabelle_Abfrage_von_MS_Access_Database[[#Headers],[1988]])</f>
        <v>1988</v>
      </c>
      <c r="Y2">
        <f>VALUE(Tabelle_Abfrage_von_MS_Access_Database[[#Headers],[1989]])</f>
        <v>1989</v>
      </c>
      <c r="Z2">
        <f>VALUE(Tabelle_Abfrage_von_MS_Access_Database[[#Headers],[1990]])</f>
        <v>1990</v>
      </c>
      <c r="AA2">
        <f>VALUE(Tabelle_Abfrage_von_MS_Access_Database[[#Headers],[1991]])</f>
        <v>1991</v>
      </c>
      <c r="AB2">
        <f>VALUE(Tabelle_Abfrage_von_MS_Access_Database[[#Headers],[1992]])</f>
        <v>1992</v>
      </c>
      <c r="AC2">
        <f>VALUE(Tabelle_Abfrage_von_MS_Access_Database[[#Headers],[1993]])</f>
        <v>1993</v>
      </c>
      <c r="AD2">
        <f>VALUE(Tabelle_Abfrage_von_MS_Access_Database[[#Headers],[1994]])</f>
        <v>1994</v>
      </c>
      <c r="AE2">
        <f>VALUE(Tabelle_Abfrage_von_MS_Access_Database[[#Headers],[1995]])</f>
        <v>1995</v>
      </c>
      <c r="AF2">
        <f>VALUE(Tabelle_Abfrage_von_MS_Access_Database[[#Headers],[1996]])</f>
        <v>1996</v>
      </c>
      <c r="AG2">
        <f>VALUE(Tabelle_Abfrage_von_MS_Access_Database[[#Headers],[1997]])</f>
        <v>1997</v>
      </c>
      <c r="AH2">
        <f>VALUE(Tabelle_Abfrage_von_MS_Access_Database[[#Headers],[1998]])</f>
        <v>1998</v>
      </c>
      <c r="AI2">
        <f>VALUE(Tabelle_Abfrage_von_MS_Access_Database[[#Headers],[1999]])</f>
        <v>1999</v>
      </c>
      <c r="AJ2">
        <f>VALUE(Tabelle_Abfrage_von_MS_Access_Database[[#Headers],[2000]])</f>
        <v>2000</v>
      </c>
      <c r="AK2">
        <f>VALUE(Tabelle_Abfrage_von_MS_Access_Database[[#Headers],[2001]])</f>
        <v>2001</v>
      </c>
      <c r="AL2">
        <f>VALUE(Tabelle_Abfrage_von_MS_Access_Database[[#Headers],[2002]])</f>
        <v>2002</v>
      </c>
      <c r="AM2">
        <f>VALUE(Tabelle_Abfrage_von_MS_Access_Database[[#Headers],[2003]])</f>
        <v>2003</v>
      </c>
      <c r="AN2">
        <f>VALUE(Tabelle_Abfrage_von_MS_Access_Database[[#Headers],[2004]])</f>
        <v>2004</v>
      </c>
      <c r="AO2">
        <f>VALUE(Tabelle_Abfrage_von_MS_Access_Database[[#Headers],[2005]])</f>
        <v>2005</v>
      </c>
      <c r="AP2">
        <f>VALUE(Tabelle_Abfrage_von_MS_Access_Database[[#Headers],[2006]])</f>
        <v>2006</v>
      </c>
      <c r="AQ2">
        <f>VALUE(Tabelle_Abfrage_von_MS_Access_Database[[#Headers],[2007]])</f>
        <v>2007</v>
      </c>
      <c r="AR2">
        <f>VALUE(Tabelle_Abfrage_von_MS_Access_Database[[#Headers],[2008]])</f>
        <v>2008</v>
      </c>
      <c r="AS2">
        <f>VALUE(Tabelle_Abfrage_von_MS_Access_Database[[#Headers],[2009]])</f>
        <v>2009</v>
      </c>
      <c r="AT2">
        <f>VALUE(Tabelle_Abfrage_von_MS_Access_Database[[#Headers],[2010]])</f>
        <v>2010</v>
      </c>
      <c r="AU2">
        <f>VALUE(Tabelle_Abfrage_von_MS_Access_Database[[#Headers],[2011]])</f>
        <v>2011</v>
      </c>
      <c r="AV2">
        <f>VALUE(Tabelle_Abfrage_von_MS_Access_Database[[#Headers],[2012]])</f>
        <v>2012</v>
      </c>
      <c r="AW2">
        <f>VALUE(Tabelle_Abfrage_von_MS_Access_Database[[#Headers],[2013]])</f>
        <v>2013</v>
      </c>
      <c r="AX2">
        <f>VALUE(Tabelle_Abfrage_von_MS_Access_Database[[#Headers],[2014]])</f>
        <v>2014</v>
      </c>
      <c r="AY2">
        <f>VALUE(Tabelle_Abfrage_von_MS_Access_Database[[#Headers],[2015]])</f>
        <v>2015</v>
      </c>
      <c r="AZ2">
        <f>VALUE(Tabelle_Abfrage_von_MS_Access_Database[[#Headers],[2016]])</f>
        <v>2016</v>
      </c>
      <c r="BA2">
        <f>VALUE(Tabelle_Abfrage_von_MS_Access_Database[[#Headers],[2017]])</f>
        <v>2017</v>
      </c>
      <c r="BB2">
        <f>VALUE(Tabelle_Abfrage_von_MS_Access_Database[[#Headers],[2018]])</f>
        <v>2018</v>
      </c>
      <c r="BC2">
        <f>VALUE(Tabelle_Abfrage_von_MS_Access_Database[[#Headers],[2019]])</f>
        <v>2019</v>
      </c>
      <c r="BD2">
        <f>VALUE(Tabelle_Abfrage_von_MS_Access_Database[[#Headers],[2020]])</f>
        <v>2020</v>
      </c>
      <c r="BE2">
        <f>VALUE(Tabelle_Abfrage_von_MS_Access_Database[[#Headers],[2021]])</f>
        <v>2021</v>
      </c>
      <c r="BF2">
        <f>VALUE(Tabelle_Abfrage_von_MS_Access_Database[[#Headers],[2022]])</f>
        <v>2022</v>
      </c>
      <c r="BG2">
        <f>VALUE(Tabelle_Abfrage_von_MS_Access_Database[[#Headers],[2023]])</f>
        <v>2023</v>
      </c>
    </row>
    <row r="3" spans="1:59" x14ac:dyDescent="0.25">
      <c r="A3">
        <f t="shared" ref="A3:A66" si="0">VLOOKUP(C3,Export_Matrix,$A$1,FALSE)/Einheit_Wert</f>
        <v>7246652.2489999998</v>
      </c>
      <c r="B3" t="str">
        <f>Export!A2</f>
        <v>001</v>
      </c>
      <c r="C3" t="str">
        <f>Export!B2</f>
        <v>Frankreich</v>
      </c>
      <c r="E3">
        <f t="shared" ref="E3:E66" si="1">VLOOKUP(G3,Import_Matrix,$A$1,FALSE)/Einheit_Wert</f>
        <v>5320496.3669999996</v>
      </c>
      <c r="F3" t="str">
        <f>Import!A2</f>
        <v>001</v>
      </c>
      <c r="G3" t="str">
        <f>Import!B2</f>
        <v>Frankreich</v>
      </c>
      <c r="I3">
        <v>1</v>
      </c>
      <c r="J3" t="str">
        <f>VLOOKUP(K3,$A$3:$C$259,3,FALSE)</f>
        <v>Deutschland</v>
      </c>
      <c r="K3">
        <f t="shared" ref="K3:K12" si="2">LARGE(Export_Ranking,I3)</f>
        <v>58504110.906000003</v>
      </c>
      <c r="L3" t="str">
        <f t="shared" ref="L3:M12" si="3">VLOOKUP($J3,Export_Matrix,L$1,FALSE)</f>
        <v>1978</v>
      </c>
      <c r="M3" t="str">
        <f t="shared" si="3"/>
        <v>9999</v>
      </c>
      <c r="N3">
        <f t="shared" ref="N3:W12" si="4">VLOOKUP($J3,Export_Matrix,N$1,FALSE)/Einheit_Wert</f>
        <v>3725197</v>
      </c>
      <c r="O3">
        <f t="shared" si="4"/>
        <v>4540913</v>
      </c>
      <c r="P3">
        <f t="shared" si="4"/>
        <v>5069619</v>
      </c>
      <c r="Q3">
        <f t="shared" si="4"/>
        <v>5328028</v>
      </c>
      <c r="R3">
        <f t="shared" si="4"/>
        <v>5687949</v>
      </c>
      <c r="S3">
        <f t="shared" si="4"/>
        <v>6202415</v>
      </c>
      <c r="T3">
        <f t="shared" si="4"/>
        <v>6769230</v>
      </c>
      <c r="U3">
        <f t="shared" si="4"/>
        <v>7748290</v>
      </c>
      <c r="V3">
        <f t="shared" si="4"/>
        <v>8149725</v>
      </c>
      <c r="W3">
        <f t="shared" si="4"/>
        <v>8667774</v>
      </c>
      <c r="X3">
        <f t="shared" ref="X3:AG12" si="5">VLOOKUP($J3,Export_Matrix,X$1,FALSE)/Einheit_Wert</f>
        <v>9755282</v>
      </c>
      <c r="Y3">
        <f t="shared" si="5"/>
        <v>10768157</v>
      </c>
      <c r="Z3">
        <f t="shared" si="5"/>
        <v>12429707</v>
      </c>
      <c r="AA3">
        <f t="shared" si="5"/>
        <v>13589659</v>
      </c>
      <c r="AB3">
        <f t="shared" si="5"/>
        <v>14108379</v>
      </c>
      <c r="AC3">
        <f t="shared" si="5"/>
        <v>13244669</v>
      </c>
      <c r="AD3">
        <f t="shared" si="5"/>
        <v>14193565</v>
      </c>
      <c r="AE3">
        <f t="shared" si="5"/>
        <v>16167819.887</v>
      </c>
      <c r="AF3">
        <f t="shared" si="5"/>
        <v>16645118.116</v>
      </c>
      <c r="AG3">
        <f t="shared" si="5"/>
        <v>18230312.333000001</v>
      </c>
      <c r="AH3">
        <f t="shared" ref="AH3:AQ12" si="6">VLOOKUP($J3,Export_Matrix,AH$1,FALSE)/Einheit_Wert</f>
        <v>20243073.984000001</v>
      </c>
      <c r="AI3">
        <f t="shared" si="6"/>
        <v>21054807.054000001</v>
      </c>
      <c r="AJ3">
        <f t="shared" si="6"/>
        <v>23244003.57</v>
      </c>
      <c r="AK3">
        <f t="shared" si="6"/>
        <v>24160020.311999999</v>
      </c>
      <c r="AL3">
        <f t="shared" si="6"/>
        <v>24779810.649999999</v>
      </c>
      <c r="AM3">
        <f t="shared" si="6"/>
        <v>25090500.368999999</v>
      </c>
      <c r="AN3">
        <f t="shared" si="6"/>
        <v>28951269.316</v>
      </c>
      <c r="AO3">
        <f t="shared" si="6"/>
        <v>30108216.609999999</v>
      </c>
      <c r="AP3">
        <f t="shared" si="6"/>
        <v>31475202.076000001</v>
      </c>
      <c r="AQ3">
        <f t="shared" si="6"/>
        <v>34446478.248999998</v>
      </c>
      <c r="AR3">
        <f t="shared" ref="AR3:BG12" si="7">VLOOKUP($J3,Export_Matrix,AR$1,FALSE)/Einheit_Wert</f>
        <v>35009741.513999999</v>
      </c>
      <c r="AS3">
        <f t="shared" si="7"/>
        <v>29179081.971000001</v>
      </c>
      <c r="AT3">
        <f t="shared" si="7"/>
        <v>34529550.237999998</v>
      </c>
      <c r="AU3">
        <f t="shared" si="7"/>
        <v>38041817.902999997</v>
      </c>
      <c r="AV3">
        <f t="shared" si="7"/>
        <v>37843019.420000002</v>
      </c>
      <c r="AW3">
        <f t="shared" si="7"/>
        <v>37873472.506999999</v>
      </c>
      <c r="AX3">
        <f t="shared" si="7"/>
        <v>38082065.568000004</v>
      </c>
      <c r="AY3">
        <f t="shared" si="7"/>
        <v>39476866.331</v>
      </c>
      <c r="AZ3">
        <f t="shared" si="7"/>
        <v>40054745.163999997</v>
      </c>
      <c r="BA3">
        <f t="shared" si="7"/>
        <v>42864301.982000001</v>
      </c>
      <c r="BB3">
        <f t="shared" si="7"/>
        <v>45235259.479000002</v>
      </c>
      <c r="BC3">
        <f t="shared" si="7"/>
        <v>45032957.678999998</v>
      </c>
      <c r="BD3">
        <f t="shared" si="7"/>
        <v>43430562.068999998</v>
      </c>
      <c r="BE3">
        <f t="shared" si="7"/>
        <v>49925358.895000003</v>
      </c>
      <c r="BF3">
        <f t="shared" si="7"/>
        <v>58012459.368000001</v>
      </c>
      <c r="BG3">
        <f t="shared" si="7"/>
        <v>58504110.906000003</v>
      </c>
    </row>
    <row r="4" spans="1:59" x14ac:dyDescent="0.25">
      <c r="A4">
        <f t="shared" si="0"/>
        <v>0</v>
      </c>
      <c r="B4" t="str">
        <f>Export!A3</f>
        <v>002</v>
      </c>
      <c r="C4" t="str">
        <f>Export!B3</f>
        <v>Belgien und Luxemburg</v>
      </c>
      <c r="E4">
        <f t="shared" si="1"/>
        <v>0</v>
      </c>
      <c r="F4" t="str">
        <f>Import!A3</f>
        <v>002</v>
      </c>
      <c r="G4" t="str">
        <f>Import!B3</f>
        <v>Belgien und Luxemburg</v>
      </c>
      <c r="I4">
        <v>2</v>
      </c>
      <c r="J4" t="str">
        <f t="shared" ref="J4:J12" si="8">VLOOKUP(K4,$A$3:$C$261,3,FALSE)</f>
        <v>Vereinigte Staaten</v>
      </c>
      <c r="K4">
        <f t="shared" si="2"/>
        <v>14743677.122</v>
      </c>
      <c r="L4" t="str">
        <f t="shared" si="3"/>
        <v>1978</v>
      </c>
      <c r="M4" t="str">
        <f t="shared" si="3"/>
        <v>9999</v>
      </c>
      <c r="N4">
        <f t="shared" si="4"/>
        <v>384338</v>
      </c>
      <c r="O4">
        <f t="shared" si="4"/>
        <v>381180</v>
      </c>
      <c r="P4">
        <f t="shared" si="4"/>
        <v>358525</v>
      </c>
      <c r="Q4">
        <f t="shared" si="4"/>
        <v>473620</v>
      </c>
      <c r="R4">
        <f t="shared" si="4"/>
        <v>570504</v>
      </c>
      <c r="S4">
        <f t="shared" si="4"/>
        <v>597444</v>
      </c>
      <c r="T4">
        <f t="shared" si="4"/>
        <v>939548</v>
      </c>
      <c r="U4">
        <f t="shared" si="4"/>
        <v>1201015</v>
      </c>
      <c r="V4">
        <f t="shared" si="4"/>
        <v>1003616</v>
      </c>
      <c r="W4">
        <f t="shared" si="4"/>
        <v>886365</v>
      </c>
      <c r="X4">
        <f t="shared" si="5"/>
        <v>981616</v>
      </c>
      <c r="Y4">
        <f t="shared" si="5"/>
        <v>1088028</v>
      </c>
      <c r="Z4">
        <f t="shared" si="5"/>
        <v>1085699</v>
      </c>
      <c r="AA4">
        <f t="shared" si="5"/>
        <v>985348</v>
      </c>
      <c r="AB4">
        <f t="shared" si="5"/>
        <v>935080</v>
      </c>
      <c r="AC4">
        <f t="shared" si="5"/>
        <v>1122128</v>
      </c>
      <c r="AD4">
        <f t="shared" si="5"/>
        <v>1297548</v>
      </c>
      <c r="AE4">
        <f t="shared" si="5"/>
        <v>1250350.6270000001</v>
      </c>
      <c r="AF4">
        <f t="shared" si="5"/>
        <v>1416244.4469999999</v>
      </c>
      <c r="AG4">
        <f t="shared" si="5"/>
        <v>1904771.335</v>
      </c>
      <c r="AH4">
        <f t="shared" si="6"/>
        <v>2279385.5290000001</v>
      </c>
      <c r="AI4">
        <f t="shared" si="6"/>
        <v>2750386.0060000001</v>
      </c>
      <c r="AJ4">
        <f t="shared" si="6"/>
        <v>3497963.6860000002</v>
      </c>
      <c r="AK4">
        <f t="shared" si="6"/>
        <v>3932867.952</v>
      </c>
      <c r="AL4">
        <f t="shared" si="6"/>
        <v>4009602.571</v>
      </c>
      <c r="AM4">
        <f t="shared" si="6"/>
        <v>4086706.412</v>
      </c>
      <c r="AN4">
        <f t="shared" si="6"/>
        <v>5307129.7209999999</v>
      </c>
      <c r="AO4">
        <f t="shared" si="6"/>
        <v>5349497.58</v>
      </c>
      <c r="AP4">
        <f t="shared" si="6"/>
        <v>6117989.9510000004</v>
      </c>
      <c r="AQ4">
        <f t="shared" si="6"/>
        <v>5775857.6239999998</v>
      </c>
      <c r="AR4">
        <f t="shared" si="7"/>
        <v>5201765.2280000001</v>
      </c>
      <c r="AS4">
        <f t="shared" si="7"/>
        <v>4034999.2650000001</v>
      </c>
      <c r="AT4">
        <f t="shared" si="7"/>
        <v>4958271.6220000004</v>
      </c>
      <c r="AU4">
        <f t="shared" si="7"/>
        <v>6389313.8260000004</v>
      </c>
      <c r="AV4">
        <f t="shared" si="7"/>
        <v>6931748.6129999999</v>
      </c>
      <c r="AW4">
        <f t="shared" si="7"/>
        <v>7059987.1770000001</v>
      </c>
      <c r="AX4">
        <f t="shared" si="7"/>
        <v>7780518.0630000001</v>
      </c>
      <c r="AY4">
        <f t="shared" si="7"/>
        <v>9083198.3990000002</v>
      </c>
      <c r="AZ4">
        <f t="shared" si="7"/>
        <v>8727220.8120000008</v>
      </c>
      <c r="BA4">
        <f t="shared" si="7"/>
        <v>9661119.9629999995</v>
      </c>
      <c r="BB4">
        <f t="shared" si="7"/>
        <v>10601464.643999999</v>
      </c>
      <c r="BC4">
        <f t="shared" si="7"/>
        <v>10242220.182</v>
      </c>
      <c r="BD4">
        <f t="shared" si="7"/>
        <v>9297426.0059999991</v>
      </c>
      <c r="BE4">
        <f t="shared" si="7"/>
        <v>11099852.668</v>
      </c>
      <c r="BF4">
        <f t="shared" si="7"/>
        <v>12912798.203</v>
      </c>
      <c r="BG4">
        <f t="shared" si="7"/>
        <v>14743677.122</v>
      </c>
    </row>
    <row r="5" spans="1:59" x14ac:dyDescent="0.25">
      <c r="A5">
        <f t="shared" si="0"/>
        <v>3661464.594</v>
      </c>
      <c r="B5" t="str">
        <f>Export!A4</f>
        <v>003</v>
      </c>
      <c r="C5" t="str">
        <f>Export!B4</f>
        <v>Niederlande</v>
      </c>
      <c r="E5">
        <f t="shared" si="1"/>
        <v>5493852.5520000001</v>
      </c>
      <c r="F5" t="str">
        <f>Import!A4</f>
        <v>003</v>
      </c>
      <c r="G5" t="str">
        <f>Import!B4</f>
        <v>Niederlande</v>
      </c>
      <c r="I5">
        <v>3</v>
      </c>
      <c r="J5" t="str">
        <f t="shared" si="8"/>
        <v>Italien</v>
      </c>
      <c r="K5">
        <f t="shared" si="2"/>
        <v>12362221.392000001</v>
      </c>
      <c r="L5" t="str">
        <f t="shared" si="3"/>
        <v>1978</v>
      </c>
      <c r="M5" t="str">
        <f t="shared" si="3"/>
        <v>9999</v>
      </c>
      <c r="N5">
        <f t="shared" si="4"/>
        <v>1127909</v>
      </c>
      <c r="O5">
        <f t="shared" si="4"/>
        <v>1466470</v>
      </c>
      <c r="P5">
        <f t="shared" si="4"/>
        <v>1801478</v>
      </c>
      <c r="Q5">
        <f t="shared" si="4"/>
        <v>1840496</v>
      </c>
      <c r="R5">
        <f t="shared" si="4"/>
        <v>1762036</v>
      </c>
      <c r="S5">
        <f t="shared" si="4"/>
        <v>1787733</v>
      </c>
      <c r="T5">
        <f t="shared" si="4"/>
        <v>2144375</v>
      </c>
      <c r="U5">
        <f t="shared" si="4"/>
        <v>2308967</v>
      </c>
      <c r="V5">
        <f t="shared" si="4"/>
        <v>2308458</v>
      </c>
      <c r="W5">
        <f t="shared" si="4"/>
        <v>2579327</v>
      </c>
      <c r="X5">
        <f t="shared" si="5"/>
        <v>2900055</v>
      </c>
      <c r="Y5">
        <f t="shared" si="5"/>
        <v>3288550</v>
      </c>
      <c r="Z5">
        <f t="shared" si="5"/>
        <v>3327118</v>
      </c>
      <c r="AA5">
        <f t="shared" si="5"/>
        <v>3261158</v>
      </c>
      <c r="AB5">
        <f t="shared" si="5"/>
        <v>3119068</v>
      </c>
      <c r="AC5">
        <f t="shared" si="5"/>
        <v>2680939</v>
      </c>
      <c r="AD5">
        <f t="shared" si="5"/>
        <v>3022022</v>
      </c>
      <c r="AE5">
        <f t="shared" si="5"/>
        <v>3729075.7850000001</v>
      </c>
      <c r="AF5">
        <f t="shared" si="5"/>
        <v>3702825.8659999999</v>
      </c>
      <c r="AG5">
        <f t="shared" si="5"/>
        <v>4310723.9519999996</v>
      </c>
      <c r="AH5">
        <f t="shared" si="6"/>
        <v>4838130.2439999999</v>
      </c>
      <c r="AI5">
        <f t="shared" si="6"/>
        <v>5064762.8729999997</v>
      </c>
      <c r="AJ5">
        <f t="shared" si="6"/>
        <v>6046104.2110000001</v>
      </c>
      <c r="AK5">
        <f t="shared" si="6"/>
        <v>6323205.2750000004</v>
      </c>
      <c r="AL5">
        <f t="shared" si="6"/>
        <v>6544178.8899999997</v>
      </c>
      <c r="AM5">
        <f t="shared" si="6"/>
        <v>7074134.2690000003</v>
      </c>
      <c r="AN5">
        <f t="shared" si="6"/>
        <v>7706295.3049999997</v>
      </c>
      <c r="AO5">
        <f t="shared" si="6"/>
        <v>8186815.3660000004</v>
      </c>
      <c r="AP5">
        <f t="shared" si="6"/>
        <v>9234918.3959999997</v>
      </c>
      <c r="AQ5">
        <f t="shared" si="6"/>
        <v>10231175.764</v>
      </c>
      <c r="AR5">
        <f t="shared" si="7"/>
        <v>10084932.778999999</v>
      </c>
      <c r="AS5">
        <f t="shared" si="7"/>
        <v>7586451.892</v>
      </c>
      <c r="AT5">
        <f t="shared" si="7"/>
        <v>8575527.3139999993</v>
      </c>
      <c r="AU5">
        <f t="shared" si="7"/>
        <v>9345492.7689999994</v>
      </c>
      <c r="AV5">
        <f t="shared" si="7"/>
        <v>8447269.7949999999</v>
      </c>
      <c r="AW5">
        <f t="shared" si="7"/>
        <v>8228252.534</v>
      </c>
      <c r="AX5">
        <f t="shared" si="7"/>
        <v>8237297.108</v>
      </c>
      <c r="AY5">
        <f t="shared" si="7"/>
        <v>8258952.8739999998</v>
      </c>
      <c r="AZ5">
        <f t="shared" si="7"/>
        <v>8373375.9409999996</v>
      </c>
      <c r="BA5">
        <f t="shared" si="7"/>
        <v>9102907.9330000002</v>
      </c>
      <c r="BB5">
        <f t="shared" si="7"/>
        <v>9761904.2789999992</v>
      </c>
      <c r="BC5">
        <f t="shared" si="7"/>
        <v>9753739.2689999994</v>
      </c>
      <c r="BD5">
        <f t="shared" si="7"/>
        <v>8823059.3949999996</v>
      </c>
      <c r="BE5">
        <f t="shared" si="7"/>
        <v>11210808.987</v>
      </c>
      <c r="BF5">
        <f t="shared" si="7"/>
        <v>13244237.863</v>
      </c>
      <c r="BG5">
        <f t="shared" si="7"/>
        <v>12362221.392000001</v>
      </c>
    </row>
    <row r="6" spans="1:59" x14ac:dyDescent="0.25">
      <c r="A6">
        <f t="shared" si="0"/>
        <v>58504110.906000003</v>
      </c>
      <c r="B6" t="str">
        <f>Export!A5</f>
        <v>004</v>
      </c>
      <c r="C6" t="str">
        <f>Export!B5</f>
        <v>Deutschland</v>
      </c>
      <c r="E6">
        <f t="shared" si="1"/>
        <v>63848099.957000002</v>
      </c>
      <c r="F6" t="str">
        <f>Import!A5</f>
        <v>004</v>
      </c>
      <c r="G6" t="str">
        <f>Import!B5</f>
        <v>Deutschland</v>
      </c>
      <c r="I6">
        <v>4</v>
      </c>
      <c r="J6" t="str">
        <f t="shared" si="8"/>
        <v>Schweiz</v>
      </c>
      <c r="K6">
        <f t="shared" si="2"/>
        <v>9957421.1699999999</v>
      </c>
      <c r="L6" t="str">
        <f t="shared" si="3"/>
        <v>1978</v>
      </c>
      <c r="M6" t="str">
        <f t="shared" si="3"/>
        <v>9999</v>
      </c>
      <c r="N6">
        <f t="shared" si="4"/>
        <v>993562</v>
      </c>
      <c r="O6">
        <f t="shared" si="4"/>
        <v>1102442</v>
      </c>
      <c r="P6">
        <f t="shared" si="4"/>
        <v>1236515</v>
      </c>
      <c r="Q6">
        <f t="shared" si="4"/>
        <v>1348524</v>
      </c>
      <c r="R6">
        <f t="shared" si="4"/>
        <v>1359507</v>
      </c>
      <c r="S6">
        <f t="shared" si="4"/>
        <v>1374378</v>
      </c>
      <c r="T6">
        <f t="shared" si="4"/>
        <v>1579227</v>
      </c>
      <c r="U6">
        <f t="shared" si="4"/>
        <v>1735329</v>
      </c>
      <c r="V6">
        <f t="shared" si="4"/>
        <v>1949985</v>
      </c>
      <c r="W6">
        <f t="shared" si="4"/>
        <v>1844842</v>
      </c>
      <c r="X6">
        <f t="shared" si="5"/>
        <v>2007256</v>
      </c>
      <c r="Y6">
        <f t="shared" si="5"/>
        <v>2257020</v>
      </c>
      <c r="Z6">
        <f t="shared" si="5"/>
        <v>2352151</v>
      </c>
      <c r="AA6">
        <f t="shared" si="5"/>
        <v>2222110</v>
      </c>
      <c r="AB6">
        <f t="shared" si="5"/>
        <v>2101734</v>
      </c>
      <c r="AC6">
        <f t="shared" si="5"/>
        <v>2092530</v>
      </c>
      <c r="AD6">
        <f t="shared" si="5"/>
        <v>2370157</v>
      </c>
      <c r="AE6">
        <f t="shared" si="5"/>
        <v>2286669.4500000002</v>
      </c>
      <c r="AF6">
        <f t="shared" si="5"/>
        <v>2202257.0049999999</v>
      </c>
      <c r="AG6">
        <f t="shared" si="5"/>
        <v>2530678.1669999999</v>
      </c>
      <c r="AH6">
        <f t="shared" si="6"/>
        <v>2810613.4049999998</v>
      </c>
      <c r="AI6">
        <f t="shared" si="6"/>
        <v>3615967.5219999999</v>
      </c>
      <c r="AJ6">
        <f t="shared" si="6"/>
        <v>4422673.55</v>
      </c>
      <c r="AK6">
        <f t="shared" si="6"/>
        <v>3862388.8679999998</v>
      </c>
      <c r="AL6">
        <f t="shared" si="6"/>
        <v>4074439.923</v>
      </c>
      <c r="AM6">
        <f t="shared" si="6"/>
        <v>4066592.7459999998</v>
      </c>
      <c r="AN6">
        <f t="shared" si="6"/>
        <v>4037496.8960000002</v>
      </c>
      <c r="AO6">
        <f t="shared" si="6"/>
        <v>4271697.7709999997</v>
      </c>
      <c r="AP6">
        <f t="shared" si="6"/>
        <v>4394425.2429999998</v>
      </c>
      <c r="AQ6">
        <f t="shared" si="6"/>
        <v>4522639.5080000004</v>
      </c>
      <c r="AR6">
        <f t="shared" si="7"/>
        <v>4468164.0250000004</v>
      </c>
      <c r="AS6">
        <f t="shared" si="7"/>
        <v>4346788.0379999997</v>
      </c>
      <c r="AT6">
        <f t="shared" si="7"/>
        <v>5199114.3909999998</v>
      </c>
      <c r="AU6">
        <f t="shared" si="7"/>
        <v>5986243.6370000001</v>
      </c>
      <c r="AV6">
        <f t="shared" si="7"/>
        <v>6232441.7659999998</v>
      </c>
      <c r="AW6">
        <f t="shared" si="7"/>
        <v>6337376.6330000004</v>
      </c>
      <c r="AX6">
        <f t="shared" si="7"/>
        <v>6685566.2790000001</v>
      </c>
      <c r="AY6">
        <f t="shared" si="7"/>
        <v>7121379.8399999999</v>
      </c>
      <c r="AZ6">
        <f t="shared" si="7"/>
        <v>7164821.0420000004</v>
      </c>
      <c r="BA6">
        <f t="shared" si="7"/>
        <v>7002033.7850000001</v>
      </c>
      <c r="BB6">
        <f t="shared" si="7"/>
        <v>7013134.4759999998</v>
      </c>
      <c r="BC6">
        <f t="shared" si="7"/>
        <v>7262703.9409999996</v>
      </c>
      <c r="BD6">
        <f t="shared" si="7"/>
        <v>7478923.6189999999</v>
      </c>
      <c r="BE6">
        <f t="shared" si="7"/>
        <v>8171782.2379999999</v>
      </c>
      <c r="BF6">
        <f t="shared" si="7"/>
        <v>9990508.1270000003</v>
      </c>
      <c r="BG6">
        <f t="shared" si="7"/>
        <v>9957421.1699999999</v>
      </c>
    </row>
    <row r="7" spans="1:59" x14ac:dyDescent="0.25">
      <c r="A7">
        <f t="shared" si="0"/>
        <v>12362221.392000001</v>
      </c>
      <c r="B7" t="str">
        <f>Export!A6</f>
        <v>005</v>
      </c>
      <c r="C7" t="str">
        <f>Export!B6</f>
        <v>Italien</v>
      </c>
      <c r="E7">
        <f t="shared" si="1"/>
        <v>12904760.889</v>
      </c>
      <c r="F7" t="str">
        <f>Import!A6</f>
        <v>005</v>
      </c>
      <c r="G7" t="str">
        <f>Import!B6</f>
        <v>Italien</v>
      </c>
      <c r="I7">
        <v>5</v>
      </c>
      <c r="J7" t="str">
        <f t="shared" si="8"/>
        <v>Belgien</v>
      </c>
      <c r="K7">
        <f t="shared" si="2"/>
        <v>7481609.9989999998</v>
      </c>
      <c r="L7" t="str">
        <f t="shared" si="3"/>
        <v>1999</v>
      </c>
      <c r="M7" t="str">
        <f t="shared" si="3"/>
        <v>9999</v>
      </c>
      <c r="N7">
        <f t="shared" si="4"/>
        <v>0</v>
      </c>
      <c r="O7">
        <f t="shared" si="4"/>
        <v>0</v>
      </c>
      <c r="P7">
        <f t="shared" si="4"/>
        <v>0</v>
      </c>
      <c r="Q7">
        <f t="shared" si="4"/>
        <v>0</v>
      </c>
      <c r="R7">
        <f t="shared" si="4"/>
        <v>0</v>
      </c>
      <c r="S7">
        <f t="shared" si="4"/>
        <v>0</v>
      </c>
      <c r="T7">
        <f t="shared" si="4"/>
        <v>0</v>
      </c>
      <c r="U7">
        <f t="shared" si="4"/>
        <v>0</v>
      </c>
      <c r="V7">
        <f t="shared" si="4"/>
        <v>0</v>
      </c>
      <c r="W7">
        <f t="shared" si="4"/>
        <v>0</v>
      </c>
      <c r="X7">
        <f t="shared" si="5"/>
        <v>0</v>
      </c>
      <c r="Y7">
        <f t="shared" si="5"/>
        <v>0</v>
      </c>
      <c r="Z7">
        <f t="shared" si="5"/>
        <v>0</v>
      </c>
      <c r="AA7">
        <f t="shared" si="5"/>
        <v>0</v>
      </c>
      <c r="AB7">
        <f t="shared" si="5"/>
        <v>0</v>
      </c>
      <c r="AC7">
        <f t="shared" si="5"/>
        <v>0</v>
      </c>
      <c r="AD7">
        <f t="shared" si="5"/>
        <v>0</v>
      </c>
      <c r="AE7">
        <f t="shared" si="5"/>
        <v>0</v>
      </c>
      <c r="AF7">
        <f t="shared" si="5"/>
        <v>0</v>
      </c>
      <c r="AG7">
        <f t="shared" si="5"/>
        <v>0</v>
      </c>
      <c r="AH7">
        <f t="shared" si="6"/>
        <v>0</v>
      </c>
      <c r="AI7">
        <f t="shared" si="6"/>
        <v>897911.14300000004</v>
      </c>
      <c r="AJ7">
        <f t="shared" si="6"/>
        <v>1046639.526</v>
      </c>
      <c r="AK7">
        <f t="shared" si="6"/>
        <v>1285364.1159999999</v>
      </c>
      <c r="AL7">
        <f t="shared" si="6"/>
        <v>1226833.1310000001</v>
      </c>
      <c r="AM7">
        <f t="shared" si="6"/>
        <v>1260143.0379999999</v>
      </c>
      <c r="AN7">
        <f t="shared" si="6"/>
        <v>1283597.9580000001</v>
      </c>
      <c r="AO7">
        <f t="shared" si="6"/>
        <v>1601583.682</v>
      </c>
      <c r="AP7">
        <f t="shared" si="6"/>
        <v>1666332.8049999999</v>
      </c>
      <c r="AQ7">
        <f t="shared" si="6"/>
        <v>1632057.7039999999</v>
      </c>
      <c r="AR7">
        <f t="shared" si="7"/>
        <v>1710536.3770000001</v>
      </c>
      <c r="AS7">
        <f t="shared" si="7"/>
        <v>1413759.956</v>
      </c>
      <c r="AT7">
        <f t="shared" si="7"/>
        <v>1500477.423</v>
      </c>
      <c r="AU7">
        <f t="shared" si="7"/>
        <v>1707281.2509999999</v>
      </c>
      <c r="AV7">
        <f t="shared" si="7"/>
        <v>1701200.1329999999</v>
      </c>
      <c r="AW7">
        <f t="shared" si="7"/>
        <v>1691062.723</v>
      </c>
      <c r="AX7">
        <f t="shared" si="7"/>
        <v>1709641.797</v>
      </c>
      <c r="AY7">
        <f t="shared" si="7"/>
        <v>1674877.2509999999</v>
      </c>
      <c r="AZ7">
        <f t="shared" si="7"/>
        <v>1601751.9339999999</v>
      </c>
      <c r="BA7">
        <f t="shared" si="7"/>
        <v>1769704.8770000001</v>
      </c>
      <c r="BB7">
        <f t="shared" si="7"/>
        <v>2121566.75</v>
      </c>
      <c r="BC7">
        <f t="shared" si="7"/>
        <v>2821038.2850000001</v>
      </c>
      <c r="BD7">
        <f t="shared" si="7"/>
        <v>2573353.605</v>
      </c>
      <c r="BE7">
        <f t="shared" si="7"/>
        <v>2891418.1260000002</v>
      </c>
      <c r="BF7">
        <f t="shared" si="7"/>
        <v>3005337.07</v>
      </c>
      <c r="BG7">
        <f t="shared" si="7"/>
        <v>7481609.9989999998</v>
      </c>
    </row>
    <row r="8" spans="1:59" x14ac:dyDescent="0.25">
      <c r="A8">
        <f t="shared" si="0"/>
        <v>5447218.0889999997</v>
      </c>
      <c r="B8" t="str">
        <f>Export!A7</f>
        <v>006</v>
      </c>
      <c r="C8" t="str">
        <f>Export!B7</f>
        <v>Vereinigtes Königreich</v>
      </c>
      <c r="E8">
        <f t="shared" si="1"/>
        <v>3060746.2969999998</v>
      </c>
      <c r="F8" t="str">
        <f>Import!A7</f>
        <v>006</v>
      </c>
      <c r="G8" t="str">
        <f>Import!B7</f>
        <v>Vereinigtes Königreich</v>
      </c>
      <c r="I8">
        <v>6</v>
      </c>
      <c r="J8" t="str">
        <f t="shared" si="8"/>
        <v>Polen</v>
      </c>
      <c r="K8">
        <f t="shared" si="2"/>
        <v>7344730.8219999997</v>
      </c>
      <c r="L8" t="str">
        <f t="shared" si="3"/>
        <v>1978</v>
      </c>
      <c r="M8" t="str">
        <f t="shared" si="3"/>
        <v>9999</v>
      </c>
      <c r="N8">
        <f t="shared" si="4"/>
        <v>390789</v>
      </c>
      <c r="O8">
        <f t="shared" si="4"/>
        <v>421982</v>
      </c>
      <c r="P8">
        <f t="shared" si="4"/>
        <v>439975</v>
      </c>
      <c r="Q8">
        <f t="shared" si="4"/>
        <v>255424</v>
      </c>
      <c r="R8">
        <f t="shared" si="4"/>
        <v>164965</v>
      </c>
      <c r="S8">
        <f t="shared" si="4"/>
        <v>225394</v>
      </c>
      <c r="T8">
        <f t="shared" si="4"/>
        <v>247170</v>
      </c>
      <c r="U8">
        <f t="shared" si="4"/>
        <v>311659</v>
      </c>
      <c r="V8">
        <f t="shared" si="4"/>
        <v>249506</v>
      </c>
      <c r="W8">
        <f t="shared" si="4"/>
        <v>216988</v>
      </c>
      <c r="X8">
        <f t="shared" si="5"/>
        <v>270476</v>
      </c>
      <c r="Y8">
        <f t="shared" si="5"/>
        <v>380676</v>
      </c>
      <c r="Z8">
        <f t="shared" si="5"/>
        <v>317812</v>
      </c>
      <c r="AA8">
        <f t="shared" si="5"/>
        <v>543113</v>
      </c>
      <c r="AB8">
        <f t="shared" si="5"/>
        <v>512957</v>
      </c>
      <c r="AC8">
        <f t="shared" si="5"/>
        <v>467586</v>
      </c>
      <c r="AD8">
        <f t="shared" si="5"/>
        <v>437551</v>
      </c>
      <c r="AE8">
        <f t="shared" si="5"/>
        <v>574214.93700000003</v>
      </c>
      <c r="AF8">
        <f t="shared" si="5"/>
        <v>658257.76800000004</v>
      </c>
      <c r="AG8">
        <f t="shared" si="5"/>
        <v>859217.20200000005</v>
      </c>
      <c r="AH8">
        <f t="shared" si="6"/>
        <v>900824.15099999995</v>
      </c>
      <c r="AI8">
        <f t="shared" si="6"/>
        <v>953169.84499999997</v>
      </c>
      <c r="AJ8">
        <f t="shared" si="6"/>
        <v>1109777.966</v>
      </c>
      <c r="AK8">
        <f t="shared" si="6"/>
        <v>1215255.3459999999</v>
      </c>
      <c r="AL8">
        <f t="shared" si="6"/>
        <v>1301460.5619999999</v>
      </c>
      <c r="AM8">
        <f t="shared" si="6"/>
        <v>1335050.6980000001</v>
      </c>
      <c r="AN8">
        <f t="shared" si="6"/>
        <v>1630291.7879999999</v>
      </c>
      <c r="AO8">
        <f t="shared" si="6"/>
        <v>1890760.96</v>
      </c>
      <c r="AP8">
        <f t="shared" si="6"/>
        <v>2392516.4169999999</v>
      </c>
      <c r="AQ8">
        <f t="shared" si="6"/>
        <v>3012768.301</v>
      </c>
      <c r="AR8">
        <f t="shared" si="7"/>
        <v>3270697.3050000002</v>
      </c>
      <c r="AS8">
        <f t="shared" si="7"/>
        <v>2447999.61</v>
      </c>
      <c r="AT8">
        <f t="shared" si="7"/>
        <v>2745165.0260000001</v>
      </c>
      <c r="AU8">
        <f t="shared" si="7"/>
        <v>3409332.86</v>
      </c>
      <c r="AV8">
        <f t="shared" si="7"/>
        <v>3440376.7089999998</v>
      </c>
      <c r="AW8">
        <f t="shared" si="7"/>
        <v>3599360.4109999998</v>
      </c>
      <c r="AX8">
        <f t="shared" si="7"/>
        <v>3840361.1370000001</v>
      </c>
      <c r="AY8">
        <f t="shared" si="7"/>
        <v>4156387.7540000002</v>
      </c>
      <c r="AZ8">
        <f t="shared" si="7"/>
        <v>3921968.2170000002</v>
      </c>
      <c r="BA8">
        <f t="shared" si="7"/>
        <v>4354037.4579999996</v>
      </c>
      <c r="BB8">
        <f t="shared" si="7"/>
        <v>4779466.4570000004</v>
      </c>
      <c r="BC8">
        <f t="shared" si="7"/>
        <v>5164918.3219999997</v>
      </c>
      <c r="BD8">
        <f t="shared" si="7"/>
        <v>5507481.4879999999</v>
      </c>
      <c r="BE8">
        <f t="shared" si="7"/>
        <v>6572504.1490000002</v>
      </c>
      <c r="BF8">
        <f t="shared" si="7"/>
        <v>7358562.1299999999</v>
      </c>
      <c r="BG8">
        <f t="shared" si="7"/>
        <v>7344730.8219999997</v>
      </c>
    </row>
    <row r="9" spans="1:59" x14ac:dyDescent="0.25">
      <c r="A9">
        <f t="shared" si="0"/>
        <v>1428043.3430000001</v>
      </c>
      <c r="B9" t="str">
        <f>Export!A8</f>
        <v>007</v>
      </c>
      <c r="C9" t="str">
        <f>Export!B8</f>
        <v>Irland</v>
      </c>
      <c r="E9">
        <f t="shared" si="1"/>
        <v>725499.28799999994</v>
      </c>
      <c r="F9" t="str">
        <f>Import!A8</f>
        <v>007</v>
      </c>
      <c r="G9" t="str">
        <f>Import!B8</f>
        <v>Irland</v>
      </c>
      <c r="I9">
        <v>7</v>
      </c>
      <c r="J9" t="str">
        <f t="shared" si="8"/>
        <v>Ungarn</v>
      </c>
      <c r="K9">
        <f t="shared" si="2"/>
        <v>7272093.6469999999</v>
      </c>
      <c r="L9" t="str">
        <f t="shared" si="3"/>
        <v>1978</v>
      </c>
      <c r="M9" t="str">
        <f t="shared" si="3"/>
        <v>9999</v>
      </c>
      <c r="N9">
        <f t="shared" si="4"/>
        <v>394495</v>
      </c>
      <c r="O9">
        <f t="shared" si="4"/>
        <v>342680</v>
      </c>
      <c r="P9">
        <f t="shared" si="4"/>
        <v>358282</v>
      </c>
      <c r="Q9">
        <f t="shared" si="4"/>
        <v>486086</v>
      </c>
      <c r="R9">
        <f t="shared" si="4"/>
        <v>467095</v>
      </c>
      <c r="S9">
        <f t="shared" si="4"/>
        <v>444193</v>
      </c>
      <c r="T9">
        <f t="shared" si="4"/>
        <v>505787</v>
      </c>
      <c r="U9">
        <f t="shared" si="4"/>
        <v>665842</v>
      </c>
      <c r="V9">
        <f t="shared" si="4"/>
        <v>567194</v>
      </c>
      <c r="W9">
        <f t="shared" si="4"/>
        <v>481383</v>
      </c>
      <c r="X9">
        <f t="shared" si="5"/>
        <v>495980</v>
      </c>
      <c r="Y9">
        <f t="shared" si="5"/>
        <v>630541</v>
      </c>
      <c r="Z9">
        <f t="shared" si="5"/>
        <v>761392</v>
      </c>
      <c r="AA9">
        <f t="shared" si="5"/>
        <v>1055776</v>
      </c>
      <c r="AB9">
        <f t="shared" si="5"/>
        <v>1130670</v>
      </c>
      <c r="AC9">
        <f t="shared" si="5"/>
        <v>1202713</v>
      </c>
      <c r="AD9">
        <f t="shared" si="5"/>
        <v>1457051</v>
      </c>
      <c r="AE9">
        <f t="shared" si="5"/>
        <v>1534551.054</v>
      </c>
      <c r="AF9">
        <f t="shared" si="5"/>
        <v>1768717.4439999999</v>
      </c>
      <c r="AG9">
        <f t="shared" si="5"/>
        <v>2541980.6749999998</v>
      </c>
      <c r="AH9">
        <f t="shared" si="6"/>
        <v>2779833.4920000001</v>
      </c>
      <c r="AI9">
        <f t="shared" si="6"/>
        <v>2966296.2590000001</v>
      </c>
      <c r="AJ9">
        <f t="shared" si="6"/>
        <v>3466373.3509999998</v>
      </c>
      <c r="AK9">
        <f t="shared" si="6"/>
        <v>3316046.5809999998</v>
      </c>
      <c r="AL9">
        <f t="shared" si="6"/>
        <v>3335457.3089999999</v>
      </c>
      <c r="AM9">
        <f t="shared" si="6"/>
        <v>3173710.5329999998</v>
      </c>
      <c r="AN9">
        <f t="shared" si="6"/>
        <v>3338074.53</v>
      </c>
      <c r="AO9">
        <f t="shared" si="6"/>
        <v>3222842.14</v>
      </c>
      <c r="AP9">
        <f t="shared" si="6"/>
        <v>3507973.9240000001</v>
      </c>
      <c r="AQ9">
        <f t="shared" si="6"/>
        <v>4004610.5460000001</v>
      </c>
      <c r="AR9">
        <f t="shared" si="7"/>
        <v>4213615.4879999999</v>
      </c>
      <c r="AS9">
        <f t="shared" si="7"/>
        <v>2916889.0989999999</v>
      </c>
      <c r="AT9">
        <f t="shared" si="7"/>
        <v>3345091.8739999998</v>
      </c>
      <c r="AU9">
        <f t="shared" si="7"/>
        <v>3775052.9890000001</v>
      </c>
      <c r="AV9">
        <f t="shared" si="7"/>
        <v>3687989.483</v>
      </c>
      <c r="AW9">
        <f t="shared" si="7"/>
        <v>3850839.0460000001</v>
      </c>
      <c r="AX9">
        <f t="shared" si="7"/>
        <v>4289501.8059999999</v>
      </c>
      <c r="AY9">
        <f t="shared" si="7"/>
        <v>4317969.727</v>
      </c>
      <c r="AZ9">
        <f t="shared" si="7"/>
        <v>4381163.3660000004</v>
      </c>
      <c r="BA9">
        <f t="shared" si="7"/>
        <v>4822511.9639999997</v>
      </c>
      <c r="BB9">
        <f t="shared" si="7"/>
        <v>5114446.0429999996</v>
      </c>
      <c r="BC9">
        <f t="shared" si="7"/>
        <v>5587846.0829999996</v>
      </c>
      <c r="BD9">
        <f t="shared" si="7"/>
        <v>4948419.3370000003</v>
      </c>
      <c r="BE9">
        <f t="shared" si="7"/>
        <v>6133960.4170000004</v>
      </c>
      <c r="BF9">
        <f t="shared" si="7"/>
        <v>7733796.5149999997</v>
      </c>
      <c r="BG9">
        <f t="shared" si="7"/>
        <v>7272093.6469999999</v>
      </c>
    </row>
    <row r="10" spans="1:59" x14ac:dyDescent="0.25">
      <c r="A10">
        <f t="shared" si="0"/>
        <v>1239129.1459999999</v>
      </c>
      <c r="B10" t="str">
        <f>Export!A9</f>
        <v>008</v>
      </c>
      <c r="C10" t="str">
        <f>Export!B9</f>
        <v>Dänemark</v>
      </c>
      <c r="E10">
        <f t="shared" si="1"/>
        <v>857981.96499999997</v>
      </c>
      <c r="F10" t="str">
        <f>Import!A9</f>
        <v>008</v>
      </c>
      <c r="G10" t="str">
        <f>Import!B9</f>
        <v>Dänemark</v>
      </c>
      <c r="I10">
        <v>8</v>
      </c>
      <c r="J10" t="str">
        <f t="shared" si="8"/>
        <v>Frankreich</v>
      </c>
      <c r="K10">
        <f t="shared" si="2"/>
        <v>7246652.2489999998</v>
      </c>
      <c r="L10" t="str">
        <f t="shared" si="3"/>
        <v>1978</v>
      </c>
      <c r="M10" t="str">
        <f t="shared" si="3"/>
        <v>9999</v>
      </c>
      <c r="N10">
        <f t="shared" si="4"/>
        <v>436112</v>
      </c>
      <c r="O10">
        <f t="shared" si="4"/>
        <v>482908</v>
      </c>
      <c r="P10">
        <f t="shared" si="4"/>
        <v>569513</v>
      </c>
      <c r="Q10">
        <f t="shared" si="4"/>
        <v>652364</v>
      </c>
      <c r="R10">
        <f t="shared" si="4"/>
        <v>818147</v>
      </c>
      <c r="S10">
        <f t="shared" si="4"/>
        <v>755167</v>
      </c>
      <c r="T10">
        <f t="shared" si="4"/>
        <v>885485</v>
      </c>
      <c r="U10">
        <f t="shared" si="4"/>
        <v>1019093</v>
      </c>
      <c r="V10">
        <f t="shared" si="4"/>
        <v>1070163</v>
      </c>
      <c r="W10">
        <f t="shared" si="4"/>
        <v>1115479</v>
      </c>
      <c r="X10">
        <f t="shared" si="5"/>
        <v>1283819</v>
      </c>
      <c r="Y10">
        <f t="shared" si="5"/>
        <v>1455751</v>
      </c>
      <c r="Z10">
        <f t="shared" si="5"/>
        <v>1608929</v>
      </c>
      <c r="AA10">
        <f t="shared" si="5"/>
        <v>1512793</v>
      </c>
      <c r="AB10">
        <f t="shared" si="5"/>
        <v>1552890</v>
      </c>
      <c r="AC10">
        <f t="shared" si="5"/>
        <v>1504642</v>
      </c>
      <c r="AD10">
        <f t="shared" si="5"/>
        <v>1696859</v>
      </c>
      <c r="AE10">
        <f t="shared" si="5"/>
        <v>1872646.3470000001</v>
      </c>
      <c r="AF10">
        <f t="shared" si="5"/>
        <v>1903055.73</v>
      </c>
      <c r="AG10">
        <f t="shared" si="5"/>
        <v>2142379.0019999999</v>
      </c>
      <c r="AH10">
        <f t="shared" si="6"/>
        <v>2525839.5490000001</v>
      </c>
      <c r="AI10">
        <f t="shared" si="6"/>
        <v>2671242.2439999999</v>
      </c>
      <c r="AJ10">
        <f t="shared" si="6"/>
        <v>3078325.7540000002</v>
      </c>
      <c r="AK10">
        <f t="shared" si="6"/>
        <v>3391099.2949999999</v>
      </c>
      <c r="AL10">
        <f t="shared" si="6"/>
        <v>3427432.3339999998</v>
      </c>
      <c r="AM10">
        <f t="shared" si="6"/>
        <v>3509817.1209999998</v>
      </c>
      <c r="AN10">
        <f t="shared" si="6"/>
        <v>3788029.608</v>
      </c>
      <c r="AO10">
        <f t="shared" si="6"/>
        <v>4017182.8480000002</v>
      </c>
      <c r="AP10">
        <f t="shared" si="6"/>
        <v>3941483.1549999998</v>
      </c>
      <c r="AQ10">
        <f t="shared" si="6"/>
        <v>4134963.3859999999</v>
      </c>
      <c r="AR10">
        <f t="shared" si="7"/>
        <v>4423449.3329999996</v>
      </c>
      <c r="AS10">
        <f t="shared" si="7"/>
        <v>3708895.1860000002</v>
      </c>
      <c r="AT10">
        <f t="shared" si="7"/>
        <v>4557496.9110000003</v>
      </c>
      <c r="AU10">
        <f t="shared" si="7"/>
        <v>4974586.4730000002</v>
      </c>
      <c r="AV10">
        <f t="shared" si="7"/>
        <v>5641874.2510000002</v>
      </c>
      <c r="AW10">
        <f t="shared" si="7"/>
        <v>5913620.0140000004</v>
      </c>
      <c r="AX10">
        <f t="shared" si="7"/>
        <v>6265064.1950000003</v>
      </c>
      <c r="AY10">
        <f t="shared" si="7"/>
        <v>5869113.2680000002</v>
      </c>
      <c r="AZ10">
        <f t="shared" si="7"/>
        <v>5328979.07</v>
      </c>
      <c r="BA10">
        <f t="shared" si="7"/>
        <v>7008046.6600000001</v>
      </c>
      <c r="BB10">
        <f t="shared" si="7"/>
        <v>6411340.1229999997</v>
      </c>
      <c r="BC10">
        <f t="shared" si="7"/>
        <v>6720686.8760000002</v>
      </c>
      <c r="BD10">
        <f t="shared" si="7"/>
        <v>6105194.4270000001</v>
      </c>
      <c r="BE10">
        <f t="shared" si="7"/>
        <v>6280700.5999999996</v>
      </c>
      <c r="BF10">
        <f t="shared" si="7"/>
        <v>7756651.8660000004</v>
      </c>
      <c r="BG10">
        <f t="shared" si="7"/>
        <v>7246652.2489999998</v>
      </c>
    </row>
    <row r="11" spans="1:59" x14ac:dyDescent="0.25">
      <c r="A11">
        <f t="shared" si="0"/>
        <v>716861.72699999996</v>
      </c>
      <c r="B11" t="str">
        <f>Export!A10</f>
        <v>009</v>
      </c>
      <c r="C11" t="str">
        <f>Export!B10</f>
        <v>Griechenland</v>
      </c>
      <c r="E11">
        <f t="shared" si="1"/>
        <v>475935.04399999999</v>
      </c>
      <c r="F11" t="str">
        <f>Import!A10</f>
        <v>009</v>
      </c>
      <c r="G11" t="str">
        <f>Import!B10</f>
        <v>Griechenland</v>
      </c>
      <c r="I11">
        <v>9</v>
      </c>
      <c r="J11" t="str">
        <f t="shared" si="8"/>
        <v>Tschechische Republik</v>
      </c>
      <c r="K11">
        <f t="shared" si="2"/>
        <v>7155615.4179999996</v>
      </c>
      <c r="L11" t="str">
        <f t="shared" si="3"/>
        <v>1993</v>
      </c>
      <c r="M11" t="str">
        <f t="shared" si="3"/>
        <v>9999</v>
      </c>
      <c r="N11">
        <f t="shared" si="4"/>
        <v>0</v>
      </c>
      <c r="O11">
        <f t="shared" si="4"/>
        <v>0</v>
      </c>
      <c r="P11">
        <f t="shared" si="4"/>
        <v>0</v>
      </c>
      <c r="Q11">
        <f t="shared" si="4"/>
        <v>0</v>
      </c>
      <c r="R11">
        <f t="shared" si="4"/>
        <v>0</v>
      </c>
      <c r="S11">
        <f t="shared" si="4"/>
        <v>0</v>
      </c>
      <c r="T11">
        <f t="shared" si="4"/>
        <v>0</v>
      </c>
      <c r="U11">
        <f t="shared" si="4"/>
        <v>0</v>
      </c>
      <c r="V11">
        <f t="shared" si="4"/>
        <v>0</v>
      </c>
      <c r="W11">
        <f t="shared" si="4"/>
        <v>0</v>
      </c>
      <c r="X11">
        <f t="shared" si="5"/>
        <v>0</v>
      </c>
      <c r="Y11">
        <f t="shared" si="5"/>
        <v>0</v>
      </c>
      <c r="Z11">
        <f t="shared" si="5"/>
        <v>0</v>
      </c>
      <c r="AA11">
        <f t="shared" si="5"/>
        <v>0</v>
      </c>
      <c r="AB11">
        <f t="shared" si="5"/>
        <v>0</v>
      </c>
      <c r="AC11">
        <f t="shared" si="5"/>
        <v>824428</v>
      </c>
      <c r="AD11">
        <f t="shared" si="5"/>
        <v>975715</v>
      </c>
      <c r="AE11">
        <f t="shared" si="5"/>
        <v>1154086.9029999999</v>
      </c>
      <c r="AF11">
        <f t="shared" si="5"/>
        <v>1290067.932</v>
      </c>
      <c r="AG11">
        <f t="shared" si="5"/>
        <v>1526538.8319999999</v>
      </c>
      <c r="AH11">
        <f t="shared" si="6"/>
        <v>1585472.3319999999</v>
      </c>
      <c r="AI11">
        <f t="shared" si="6"/>
        <v>1698042.916</v>
      </c>
      <c r="AJ11">
        <f t="shared" si="6"/>
        <v>1999436.15</v>
      </c>
      <c r="AK11">
        <f t="shared" si="6"/>
        <v>2151289.977</v>
      </c>
      <c r="AL11">
        <f t="shared" si="6"/>
        <v>2247510.676</v>
      </c>
      <c r="AM11">
        <f t="shared" si="6"/>
        <v>2410706.068</v>
      </c>
      <c r="AN11">
        <f t="shared" si="6"/>
        <v>2751726.1</v>
      </c>
      <c r="AO11">
        <f t="shared" si="6"/>
        <v>2925444.199</v>
      </c>
      <c r="AP11">
        <f t="shared" si="6"/>
        <v>3384216.031</v>
      </c>
      <c r="AQ11">
        <f t="shared" si="6"/>
        <v>4088192.6310000001</v>
      </c>
      <c r="AR11">
        <f t="shared" si="7"/>
        <v>4401729.8660000004</v>
      </c>
      <c r="AS11">
        <f t="shared" si="7"/>
        <v>3429954.375</v>
      </c>
      <c r="AT11">
        <f t="shared" si="7"/>
        <v>4144721.253</v>
      </c>
      <c r="AU11">
        <f t="shared" si="7"/>
        <v>4763253.8739999998</v>
      </c>
      <c r="AV11">
        <f t="shared" si="7"/>
        <v>4471335.49</v>
      </c>
      <c r="AW11">
        <f t="shared" si="7"/>
        <v>4387784.642</v>
      </c>
      <c r="AX11">
        <f t="shared" si="7"/>
        <v>4354533.477</v>
      </c>
      <c r="AY11">
        <f t="shared" si="7"/>
        <v>4726645.3229999999</v>
      </c>
      <c r="AZ11">
        <f t="shared" si="7"/>
        <v>4789731.3099999996</v>
      </c>
      <c r="BA11">
        <f t="shared" si="7"/>
        <v>5266667.6459999997</v>
      </c>
      <c r="BB11">
        <f t="shared" si="7"/>
        <v>5666205.6279999996</v>
      </c>
      <c r="BC11">
        <f t="shared" si="7"/>
        <v>5405068.9299999997</v>
      </c>
      <c r="BD11">
        <f t="shared" si="7"/>
        <v>5083330.6140000001</v>
      </c>
      <c r="BE11">
        <f t="shared" si="7"/>
        <v>6030343.3540000003</v>
      </c>
      <c r="BF11">
        <f t="shared" si="7"/>
        <v>7083310.648</v>
      </c>
      <c r="BG11">
        <f t="shared" si="7"/>
        <v>7155615.4179999996</v>
      </c>
    </row>
    <row r="12" spans="1:59" x14ac:dyDescent="0.25">
      <c r="A12">
        <f t="shared" si="0"/>
        <v>551792.03300000005</v>
      </c>
      <c r="B12" t="str">
        <f>Export!A11</f>
        <v>010</v>
      </c>
      <c r="C12" t="str">
        <f>Export!B11</f>
        <v>Portugal</v>
      </c>
      <c r="E12">
        <f t="shared" si="1"/>
        <v>566644.00600000005</v>
      </c>
      <c r="F12" t="str">
        <f>Import!A11</f>
        <v>010</v>
      </c>
      <c r="G12" t="str">
        <f>Import!B11</f>
        <v>Portugal</v>
      </c>
      <c r="I12">
        <v>10</v>
      </c>
      <c r="J12" t="str">
        <f t="shared" si="8"/>
        <v>Vereinigtes Königreich</v>
      </c>
      <c r="K12">
        <f t="shared" si="2"/>
        <v>5447218.0889999997</v>
      </c>
      <c r="L12" t="str">
        <f t="shared" si="3"/>
        <v>1978</v>
      </c>
      <c r="M12" t="str">
        <f t="shared" si="3"/>
        <v>9999</v>
      </c>
      <c r="N12">
        <f t="shared" si="4"/>
        <v>630900</v>
      </c>
      <c r="O12">
        <f t="shared" si="4"/>
        <v>667193</v>
      </c>
      <c r="P12">
        <f t="shared" si="4"/>
        <v>603188</v>
      </c>
      <c r="Q12">
        <f t="shared" si="4"/>
        <v>765210</v>
      </c>
      <c r="R12">
        <f t="shared" si="4"/>
        <v>838240</v>
      </c>
      <c r="S12">
        <f t="shared" si="4"/>
        <v>822678</v>
      </c>
      <c r="T12">
        <f t="shared" si="4"/>
        <v>1002155</v>
      </c>
      <c r="U12">
        <f t="shared" si="4"/>
        <v>1182897</v>
      </c>
      <c r="V12">
        <f t="shared" si="4"/>
        <v>1111654</v>
      </c>
      <c r="W12">
        <f t="shared" si="4"/>
        <v>1137304</v>
      </c>
      <c r="X12">
        <f t="shared" si="5"/>
        <v>1316002</v>
      </c>
      <c r="Y12">
        <f t="shared" si="5"/>
        <v>1404374</v>
      </c>
      <c r="Z12">
        <f t="shared" si="5"/>
        <v>1312560</v>
      </c>
      <c r="AA12">
        <f t="shared" si="5"/>
        <v>1259373</v>
      </c>
      <c r="AB12">
        <f t="shared" si="5"/>
        <v>1264972</v>
      </c>
      <c r="AC12">
        <f t="shared" si="5"/>
        <v>1109435</v>
      </c>
      <c r="AD12">
        <f t="shared" si="5"/>
        <v>1178979</v>
      </c>
      <c r="AE12">
        <f t="shared" si="5"/>
        <v>1392387.1340000001</v>
      </c>
      <c r="AF12">
        <f t="shared" si="5"/>
        <v>1573315.6769999999</v>
      </c>
      <c r="AG12">
        <f t="shared" si="5"/>
        <v>2154046.2540000002</v>
      </c>
      <c r="AH12">
        <f t="shared" si="6"/>
        <v>2359306.1749999998</v>
      </c>
      <c r="AI12">
        <f t="shared" si="6"/>
        <v>2650535.926</v>
      </c>
      <c r="AJ12">
        <f t="shared" si="6"/>
        <v>3038795.7880000002</v>
      </c>
      <c r="AK12">
        <f t="shared" si="6"/>
        <v>3466960.96</v>
      </c>
      <c r="AL12">
        <f t="shared" si="6"/>
        <v>3607976.9929999998</v>
      </c>
      <c r="AM12">
        <f t="shared" si="6"/>
        <v>3484169.216</v>
      </c>
      <c r="AN12">
        <f t="shared" si="6"/>
        <v>3764566.9840000002</v>
      </c>
      <c r="AO12">
        <f t="shared" si="6"/>
        <v>3845167.6069999998</v>
      </c>
      <c r="AP12">
        <f t="shared" si="6"/>
        <v>3922360.773</v>
      </c>
      <c r="AQ12">
        <f t="shared" si="6"/>
        <v>4050220.1209999998</v>
      </c>
      <c r="AR12">
        <f t="shared" si="7"/>
        <v>3686392.3629999999</v>
      </c>
      <c r="AS12">
        <f t="shared" si="7"/>
        <v>2870517.9309999999</v>
      </c>
      <c r="AT12">
        <f t="shared" si="7"/>
        <v>3318961.085</v>
      </c>
      <c r="AU12">
        <f t="shared" si="7"/>
        <v>3553249.9249999998</v>
      </c>
      <c r="AV12">
        <f t="shared" si="7"/>
        <v>3405810.0279999999</v>
      </c>
      <c r="AW12">
        <f t="shared" si="7"/>
        <v>3601743.6269999999</v>
      </c>
      <c r="AX12">
        <f t="shared" si="7"/>
        <v>3943068.858</v>
      </c>
      <c r="AY12">
        <f t="shared" si="7"/>
        <v>4179384.1209999998</v>
      </c>
      <c r="AZ12">
        <f t="shared" si="7"/>
        <v>4102781.2080000001</v>
      </c>
      <c r="BA12">
        <f t="shared" si="7"/>
        <v>3905289.8119999999</v>
      </c>
      <c r="BB12">
        <f t="shared" si="7"/>
        <v>4198041.6339999996</v>
      </c>
      <c r="BC12">
        <f t="shared" si="7"/>
        <v>4496351.87</v>
      </c>
      <c r="BD12">
        <f t="shared" si="7"/>
        <v>4079583.898</v>
      </c>
      <c r="BE12">
        <f t="shared" si="7"/>
        <v>4440437.7620000001</v>
      </c>
      <c r="BF12">
        <f t="shared" si="7"/>
        <v>5105837.2149999999</v>
      </c>
      <c r="BG12">
        <f t="shared" si="7"/>
        <v>5447218.0889999997</v>
      </c>
    </row>
    <row r="13" spans="1:59" x14ac:dyDescent="0.25">
      <c r="A13">
        <f t="shared" si="0"/>
        <v>3160742.3560000001</v>
      </c>
      <c r="B13" t="str">
        <f>Export!A12</f>
        <v>011</v>
      </c>
      <c r="C13" t="str">
        <f>Export!B12</f>
        <v>Spanien</v>
      </c>
      <c r="E13">
        <f t="shared" si="1"/>
        <v>3034752.71</v>
      </c>
      <c r="F13" t="str">
        <f>Import!A12</f>
        <v>011</v>
      </c>
      <c r="G13" t="str">
        <f>Import!B12</f>
        <v>Spanien</v>
      </c>
    </row>
    <row r="14" spans="1:59" x14ac:dyDescent="0.25">
      <c r="A14">
        <f t="shared" si="0"/>
        <v>7481609.9989999998</v>
      </c>
      <c r="B14" t="str">
        <f>Export!A13</f>
        <v>017</v>
      </c>
      <c r="C14" t="str">
        <f>Export!B13</f>
        <v>Belgien</v>
      </c>
      <c r="E14">
        <f t="shared" si="1"/>
        <v>2910340.0419999999</v>
      </c>
      <c r="F14" t="str">
        <f>Import!A13</f>
        <v>017</v>
      </c>
      <c r="G14" t="str">
        <f>Import!B13</f>
        <v>Belgien</v>
      </c>
      <c r="I14">
        <f>IF(ISNUMBER(FIND("EU",Außenhandelspartner)),0,IF(Außenhandelspartner="Welt",0,_xlfn.RANK.EQ($K$14,Export_Ranking)))</f>
        <v>1</v>
      </c>
      <c r="J14" t="str">
        <f>Außenhandelspartner</f>
        <v>Deutschland</v>
      </c>
      <c r="K14">
        <f>VLOOKUP(Außenhandelspartner,Export_Matrix,$A$1,FALSE)/Einheit_Wert</f>
        <v>58504110.906000003</v>
      </c>
      <c r="L14" t="str">
        <f t="shared" ref="L14:M14" si="9">VLOOKUP($J14,Export_Matrix,L$1,FALSE)</f>
        <v>1978</v>
      </c>
      <c r="M14" t="str">
        <f t="shared" si="9"/>
        <v>9999</v>
      </c>
      <c r="N14">
        <f t="shared" ref="N14:BG14" si="10">VLOOKUP($J14,Export_Matrix,N$1,FALSE)/Einheit_Wert</f>
        <v>3725197</v>
      </c>
      <c r="O14">
        <f t="shared" si="10"/>
        <v>4540913</v>
      </c>
      <c r="P14">
        <f t="shared" si="10"/>
        <v>5069619</v>
      </c>
      <c r="Q14">
        <f t="shared" si="10"/>
        <v>5328028</v>
      </c>
      <c r="R14">
        <f t="shared" si="10"/>
        <v>5687949</v>
      </c>
      <c r="S14">
        <f t="shared" si="10"/>
        <v>6202415</v>
      </c>
      <c r="T14">
        <f t="shared" si="10"/>
        <v>6769230</v>
      </c>
      <c r="U14">
        <f t="shared" si="10"/>
        <v>7748290</v>
      </c>
      <c r="V14">
        <f t="shared" si="10"/>
        <v>8149725</v>
      </c>
      <c r="W14">
        <f t="shared" si="10"/>
        <v>8667774</v>
      </c>
      <c r="X14">
        <f t="shared" si="10"/>
        <v>9755282</v>
      </c>
      <c r="Y14">
        <f t="shared" si="10"/>
        <v>10768157</v>
      </c>
      <c r="Z14">
        <f t="shared" si="10"/>
        <v>12429707</v>
      </c>
      <c r="AA14">
        <f t="shared" si="10"/>
        <v>13589659</v>
      </c>
      <c r="AB14">
        <f t="shared" si="10"/>
        <v>14108379</v>
      </c>
      <c r="AC14">
        <f t="shared" si="10"/>
        <v>13244669</v>
      </c>
      <c r="AD14">
        <f t="shared" si="10"/>
        <v>14193565</v>
      </c>
      <c r="AE14">
        <f t="shared" si="10"/>
        <v>16167819.887</v>
      </c>
      <c r="AF14">
        <f t="shared" si="10"/>
        <v>16645118.116</v>
      </c>
      <c r="AG14">
        <f t="shared" si="10"/>
        <v>18230312.333000001</v>
      </c>
      <c r="AH14">
        <f t="shared" si="10"/>
        <v>20243073.984000001</v>
      </c>
      <c r="AI14">
        <f t="shared" si="10"/>
        <v>21054807.054000001</v>
      </c>
      <c r="AJ14">
        <f t="shared" si="10"/>
        <v>23244003.57</v>
      </c>
      <c r="AK14">
        <f t="shared" si="10"/>
        <v>24160020.311999999</v>
      </c>
      <c r="AL14">
        <f t="shared" si="10"/>
        <v>24779810.649999999</v>
      </c>
      <c r="AM14">
        <f t="shared" si="10"/>
        <v>25090500.368999999</v>
      </c>
      <c r="AN14">
        <f t="shared" si="10"/>
        <v>28951269.316</v>
      </c>
      <c r="AO14">
        <f t="shared" si="10"/>
        <v>30108216.609999999</v>
      </c>
      <c r="AP14">
        <f t="shared" si="10"/>
        <v>31475202.076000001</v>
      </c>
      <c r="AQ14">
        <f t="shared" si="10"/>
        <v>34446478.248999998</v>
      </c>
      <c r="AR14">
        <f t="shared" si="10"/>
        <v>35009741.513999999</v>
      </c>
      <c r="AS14">
        <f t="shared" si="10"/>
        <v>29179081.971000001</v>
      </c>
      <c r="AT14">
        <f t="shared" si="10"/>
        <v>34529550.237999998</v>
      </c>
      <c r="AU14">
        <f t="shared" si="10"/>
        <v>38041817.902999997</v>
      </c>
      <c r="AV14">
        <f t="shared" si="10"/>
        <v>37843019.420000002</v>
      </c>
      <c r="AW14">
        <f t="shared" si="10"/>
        <v>37873472.506999999</v>
      </c>
      <c r="AX14">
        <f t="shared" si="10"/>
        <v>38082065.568000004</v>
      </c>
      <c r="AY14">
        <f t="shared" si="10"/>
        <v>39476866.331</v>
      </c>
      <c r="AZ14">
        <f t="shared" si="10"/>
        <v>40054745.163999997</v>
      </c>
      <c r="BA14">
        <f t="shared" si="10"/>
        <v>42864301.982000001</v>
      </c>
      <c r="BB14">
        <f t="shared" si="10"/>
        <v>45235259.479000002</v>
      </c>
      <c r="BC14">
        <f t="shared" si="10"/>
        <v>45032957.678999998</v>
      </c>
      <c r="BD14">
        <f t="shared" si="10"/>
        <v>43430562.068999998</v>
      </c>
      <c r="BE14">
        <f t="shared" si="10"/>
        <v>49925358.895000003</v>
      </c>
      <c r="BF14">
        <f t="shared" si="10"/>
        <v>58012459.368000001</v>
      </c>
      <c r="BG14">
        <f t="shared" si="10"/>
        <v>58504110.906000003</v>
      </c>
    </row>
    <row r="15" spans="1:59" x14ac:dyDescent="0.25">
      <c r="A15">
        <f t="shared" si="0"/>
        <v>225656.44</v>
      </c>
      <c r="B15" t="str">
        <f>Export!A14</f>
        <v>018</v>
      </c>
      <c r="C15" t="str">
        <f>Export!B14</f>
        <v>Luxemburg</v>
      </c>
      <c r="E15">
        <f t="shared" si="1"/>
        <v>379319.72</v>
      </c>
      <c r="F15" t="str">
        <f>Import!A14</f>
        <v>018</v>
      </c>
      <c r="G15" t="str">
        <f>Import!B14</f>
        <v>Luxemburg</v>
      </c>
    </row>
    <row r="16" spans="1:59" x14ac:dyDescent="0.25">
      <c r="A16">
        <f t="shared" si="0"/>
        <v>505.68599999999998</v>
      </c>
      <c r="B16" t="str">
        <f>Export!A15</f>
        <v>021</v>
      </c>
      <c r="C16" t="str">
        <f>Export!B15</f>
        <v>Ceuta</v>
      </c>
      <c r="E16">
        <f t="shared" si="1"/>
        <v>49.517000000000003</v>
      </c>
      <c r="F16" t="str">
        <f>Import!A15</f>
        <v>021</v>
      </c>
      <c r="G16" t="str">
        <f>Import!B15</f>
        <v>Ceuta</v>
      </c>
    </row>
    <row r="17" spans="1:59" x14ac:dyDescent="0.25">
      <c r="A17">
        <f t="shared" si="0"/>
        <v>0</v>
      </c>
      <c r="B17" t="str">
        <f>Export!A16</f>
        <v>022</v>
      </c>
      <c r="C17" t="str">
        <f>Export!B16</f>
        <v>Ceuta u. Melilla</v>
      </c>
      <c r="E17">
        <f t="shared" si="1"/>
        <v>0</v>
      </c>
      <c r="F17" t="str">
        <f>Import!A16</f>
        <v>022</v>
      </c>
      <c r="G17" t="str">
        <f>Import!B16</f>
        <v>Ceuta u. Melilla</v>
      </c>
      <c r="J17" t="s">
        <v>548</v>
      </c>
      <c r="K17">
        <f>Auswahl_Jahr</f>
        <v>2023</v>
      </c>
      <c r="L17" t="s">
        <v>559</v>
      </c>
      <c r="M17" t="s">
        <v>560</v>
      </c>
      <c r="N17">
        <f>VALUE(Tabelle_Abfrage_von_MS_Access_Database[[#Headers],[1978]])</f>
        <v>1978</v>
      </c>
      <c r="O17">
        <f>VALUE(Tabelle_Abfrage_von_MS_Access_Database[[#Headers],[1979]])</f>
        <v>1979</v>
      </c>
      <c r="P17">
        <f>VALUE(Tabelle_Abfrage_von_MS_Access_Database[[#Headers],[1980]])</f>
        <v>1980</v>
      </c>
      <c r="Q17">
        <f>VALUE(Tabelle_Abfrage_von_MS_Access_Database[[#Headers],[1981]])</f>
        <v>1981</v>
      </c>
      <c r="R17">
        <f>VALUE(Tabelle_Abfrage_von_MS_Access_Database[[#Headers],[1982]])</f>
        <v>1982</v>
      </c>
      <c r="S17">
        <f>VALUE(Tabelle_Abfrage_von_MS_Access_Database[[#Headers],[1983]])</f>
        <v>1983</v>
      </c>
      <c r="T17">
        <f>VALUE(Tabelle_Abfrage_von_MS_Access_Database[[#Headers],[1984]])</f>
        <v>1984</v>
      </c>
      <c r="U17">
        <f>VALUE(Tabelle_Abfrage_von_MS_Access_Database[[#Headers],[1985]])</f>
        <v>1985</v>
      </c>
      <c r="V17">
        <f>VALUE(Tabelle_Abfrage_von_MS_Access_Database[[#Headers],[1986]])</f>
        <v>1986</v>
      </c>
      <c r="W17">
        <f>VALUE(Tabelle_Abfrage_von_MS_Access_Database[[#Headers],[1987]])</f>
        <v>1987</v>
      </c>
      <c r="X17">
        <f>VALUE(Tabelle_Abfrage_von_MS_Access_Database[[#Headers],[1988]])</f>
        <v>1988</v>
      </c>
      <c r="Y17">
        <f>VALUE(Tabelle_Abfrage_von_MS_Access_Database[[#Headers],[1989]])</f>
        <v>1989</v>
      </c>
      <c r="Z17">
        <f>VALUE(Tabelle_Abfrage_von_MS_Access_Database[[#Headers],[1990]])</f>
        <v>1990</v>
      </c>
      <c r="AA17">
        <f>VALUE(Tabelle_Abfrage_von_MS_Access_Database[[#Headers],[1991]])</f>
        <v>1991</v>
      </c>
      <c r="AB17">
        <f>VALUE(Tabelle_Abfrage_von_MS_Access_Database[[#Headers],[1992]])</f>
        <v>1992</v>
      </c>
      <c r="AC17">
        <f>VALUE(Tabelle_Abfrage_von_MS_Access_Database[[#Headers],[1993]])</f>
        <v>1993</v>
      </c>
      <c r="AD17">
        <f>VALUE(Tabelle_Abfrage_von_MS_Access_Database[[#Headers],[1994]])</f>
        <v>1994</v>
      </c>
      <c r="AE17">
        <f>VALUE(Tabelle_Abfrage_von_MS_Access_Database[[#Headers],[1995]])</f>
        <v>1995</v>
      </c>
      <c r="AF17">
        <f>VALUE(Tabelle_Abfrage_von_MS_Access_Database[[#Headers],[1996]])</f>
        <v>1996</v>
      </c>
      <c r="AG17">
        <f>VALUE(Tabelle_Abfrage_von_MS_Access_Database[[#Headers],[1997]])</f>
        <v>1997</v>
      </c>
      <c r="AH17">
        <f>VALUE(Tabelle_Abfrage_von_MS_Access_Database[[#Headers],[1998]])</f>
        <v>1998</v>
      </c>
      <c r="AI17">
        <f>VALUE(Tabelle_Abfrage_von_MS_Access_Database[[#Headers],[1999]])</f>
        <v>1999</v>
      </c>
      <c r="AJ17">
        <f>VALUE(Tabelle_Abfrage_von_MS_Access_Database[[#Headers],[2000]])</f>
        <v>2000</v>
      </c>
      <c r="AK17">
        <f>VALUE(Tabelle_Abfrage_von_MS_Access_Database[[#Headers],[2001]])</f>
        <v>2001</v>
      </c>
      <c r="AL17">
        <f>VALUE(Tabelle_Abfrage_von_MS_Access_Database[[#Headers],[2002]])</f>
        <v>2002</v>
      </c>
      <c r="AM17">
        <f>VALUE(Tabelle_Abfrage_von_MS_Access_Database[[#Headers],[2003]])</f>
        <v>2003</v>
      </c>
      <c r="AN17">
        <f>VALUE(Tabelle_Abfrage_von_MS_Access_Database[[#Headers],[2004]])</f>
        <v>2004</v>
      </c>
      <c r="AO17">
        <f>VALUE(Tabelle_Abfrage_von_MS_Access_Database[[#Headers],[2005]])</f>
        <v>2005</v>
      </c>
      <c r="AP17">
        <f>VALUE(Tabelle_Abfrage_von_MS_Access_Database[[#Headers],[2006]])</f>
        <v>2006</v>
      </c>
      <c r="AQ17">
        <f>VALUE(Tabelle_Abfrage_von_MS_Access_Database[[#Headers],[2007]])</f>
        <v>2007</v>
      </c>
      <c r="AR17">
        <f>VALUE(Tabelle_Abfrage_von_MS_Access_Database[[#Headers],[2008]])</f>
        <v>2008</v>
      </c>
      <c r="AS17">
        <f>VALUE(Tabelle_Abfrage_von_MS_Access_Database[[#Headers],[2009]])</f>
        <v>2009</v>
      </c>
      <c r="AT17">
        <f>VALUE(Tabelle_Abfrage_von_MS_Access_Database[[#Headers],[2010]])</f>
        <v>2010</v>
      </c>
      <c r="AU17">
        <f>VALUE(Tabelle_Abfrage_von_MS_Access_Database[[#Headers],[2011]])</f>
        <v>2011</v>
      </c>
      <c r="AV17">
        <f>VALUE(Tabelle_Abfrage_von_MS_Access_Database[[#Headers],[2012]])</f>
        <v>2012</v>
      </c>
      <c r="AW17">
        <f>VALUE(Tabelle_Abfrage_von_MS_Access_Database[[#Headers],[2013]])</f>
        <v>2013</v>
      </c>
      <c r="AX17">
        <f>VALUE(Tabelle_Abfrage_von_MS_Access_Database[[#Headers],[2014]])</f>
        <v>2014</v>
      </c>
      <c r="AY17">
        <f>VALUE(Tabelle_Abfrage_von_MS_Access_Database[[#Headers],[2015]])</f>
        <v>2015</v>
      </c>
      <c r="AZ17">
        <f>VALUE(Tabelle_Abfrage_von_MS_Access_Database[[#Headers],[2016]])</f>
        <v>2016</v>
      </c>
      <c r="BA17">
        <f>VALUE(Tabelle_Abfrage_von_MS_Access_Database[[#Headers],[2017]])</f>
        <v>2017</v>
      </c>
      <c r="BB17">
        <f>VALUE(Tabelle_Abfrage_von_MS_Access_Database[[#Headers],[2018]])</f>
        <v>2018</v>
      </c>
      <c r="BC17">
        <f>VALUE(Tabelle_Abfrage_von_MS_Access_Database[[#Headers],[2019]])</f>
        <v>2019</v>
      </c>
      <c r="BD17">
        <f>VALUE(Tabelle_Abfrage_von_MS_Access_Database[[#Headers],[2020]])</f>
        <v>2020</v>
      </c>
      <c r="BE17">
        <f>VALUE(Tabelle_Abfrage_von_MS_Access_Database[[#Headers],[2021]])</f>
        <v>2021</v>
      </c>
      <c r="BF17">
        <f>VALUE(Tabelle_Abfrage_von_MS_Access_Database[[#Headers],[2022]])</f>
        <v>2022</v>
      </c>
      <c r="BG17">
        <f>VALUE(Tabelle_Abfrage_von_MS_Access_Database[[#Headers],[2023]])</f>
        <v>2023</v>
      </c>
    </row>
    <row r="18" spans="1:59" x14ac:dyDescent="0.25">
      <c r="A18">
        <f t="shared" si="0"/>
        <v>73.16</v>
      </c>
      <c r="B18" t="str">
        <f>Export!A17</f>
        <v>023</v>
      </c>
      <c r="C18" t="str">
        <f>Export!B17</f>
        <v>Melilla</v>
      </c>
      <c r="E18">
        <f t="shared" si="1"/>
        <v>29.356000000000002</v>
      </c>
      <c r="F18" t="str">
        <f>Import!A17</f>
        <v>023</v>
      </c>
      <c r="G18" t="str">
        <f>Import!B17</f>
        <v>Melilla</v>
      </c>
      <c r="I18">
        <v>1</v>
      </c>
      <c r="J18" t="str">
        <f>VLOOKUP(K18,$E$3:$G$262,3,FALSE)</f>
        <v>Deutschland</v>
      </c>
      <c r="K18">
        <f t="shared" ref="K18:K27" si="11">LARGE(Import_Ranking,I18)</f>
        <v>63848099.957000002</v>
      </c>
      <c r="L18" t="str">
        <f t="shared" ref="L18:M27" si="12">VLOOKUP($J18,Import_Matrix,L$1,FALSE)</f>
        <v>1978</v>
      </c>
      <c r="M18" t="str">
        <f t="shared" si="12"/>
        <v>9999</v>
      </c>
      <c r="N18">
        <f t="shared" ref="N18:W27" si="13">VLOOKUP($J18,Import_Matrix,N$1,FALSE)/Einheit_Wert</f>
        <v>7302232</v>
      </c>
      <c r="O18">
        <f t="shared" si="13"/>
        <v>8301883</v>
      </c>
      <c r="P18">
        <f t="shared" si="13"/>
        <v>9367407</v>
      </c>
      <c r="Q18">
        <f t="shared" si="13"/>
        <v>9447237</v>
      </c>
      <c r="R18">
        <f t="shared" si="13"/>
        <v>9806677</v>
      </c>
      <c r="S18">
        <f t="shared" si="13"/>
        <v>10508051</v>
      </c>
      <c r="T18">
        <f t="shared" si="13"/>
        <v>11375844</v>
      </c>
      <c r="U18">
        <f t="shared" si="13"/>
        <v>12818358</v>
      </c>
      <c r="V18">
        <f t="shared" si="13"/>
        <v>13042004</v>
      </c>
      <c r="W18">
        <f t="shared" si="13"/>
        <v>13222888</v>
      </c>
      <c r="X18">
        <f t="shared" ref="X18:AG27" si="14">VLOOKUP($J18,Import_Matrix,X$1,FALSE)/Einheit_Wert</f>
        <v>14603078</v>
      </c>
      <c r="Y18">
        <f t="shared" si="14"/>
        <v>16316473</v>
      </c>
      <c r="Z18">
        <f t="shared" si="14"/>
        <v>17664424</v>
      </c>
      <c r="AA18">
        <f t="shared" si="14"/>
        <v>18505701</v>
      </c>
      <c r="AB18">
        <f t="shared" si="14"/>
        <v>18505011</v>
      </c>
      <c r="AC18">
        <f t="shared" si="14"/>
        <v>17019443</v>
      </c>
      <c r="AD18">
        <f t="shared" si="14"/>
        <v>18295530</v>
      </c>
      <c r="AE18">
        <f t="shared" si="14"/>
        <v>21162496.851</v>
      </c>
      <c r="AF18">
        <f t="shared" si="14"/>
        <v>22205880.182999998</v>
      </c>
      <c r="AG18">
        <f t="shared" si="14"/>
        <v>23932815.851</v>
      </c>
      <c r="AH18">
        <f t="shared" ref="AH18:AQ27" si="15">VLOOKUP($J18,Import_Matrix,AH$1,FALSE)/Einheit_Wert</f>
        <v>25572237.006000001</v>
      </c>
      <c r="AI18">
        <f t="shared" si="15"/>
        <v>27379802.945</v>
      </c>
      <c r="AJ18">
        <f t="shared" si="15"/>
        <v>30533996.706</v>
      </c>
      <c r="AK18">
        <f t="shared" si="15"/>
        <v>31901114.750999998</v>
      </c>
      <c r="AL18">
        <f t="shared" si="15"/>
        <v>31085527.177000001</v>
      </c>
      <c r="AM18">
        <f t="shared" si="15"/>
        <v>33189967.059999999</v>
      </c>
      <c r="AN18">
        <f t="shared" si="15"/>
        <v>39130293.618000001</v>
      </c>
      <c r="AO18">
        <f t="shared" si="15"/>
        <v>40732762.078000002</v>
      </c>
      <c r="AP18">
        <f t="shared" si="15"/>
        <v>43263947.011</v>
      </c>
      <c r="AQ18">
        <f t="shared" si="15"/>
        <v>47498026.629000001</v>
      </c>
      <c r="AR18">
        <f t="shared" ref="AR18:BG27" si="16">VLOOKUP($J18,Import_Matrix,AR$1,FALSE)/Einheit_Wert</f>
        <v>48490087.452</v>
      </c>
      <c r="AS18">
        <f t="shared" si="16"/>
        <v>39827237.608999997</v>
      </c>
      <c r="AT18">
        <f t="shared" si="16"/>
        <v>44851304.177000001</v>
      </c>
      <c r="AU18">
        <f t="shared" si="16"/>
        <v>50050447.825999998</v>
      </c>
      <c r="AV18">
        <f t="shared" si="16"/>
        <v>49587145.479999997</v>
      </c>
      <c r="AW18">
        <f t="shared" si="16"/>
        <v>49020287.583999999</v>
      </c>
      <c r="AX18">
        <f t="shared" si="16"/>
        <v>48543290.417000003</v>
      </c>
      <c r="AY18">
        <f t="shared" si="16"/>
        <v>49243680.358000003</v>
      </c>
      <c r="AZ18">
        <f t="shared" si="16"/>
        <v>50413887.116999999</v>
      </c>
      <c r="BA18">
        <f t="shared" si="16"/>
        <v>54399256.851000004</v>
      </c>
      <c r="BB18">
        <f t="shared" si="16"/>
        <v>55850258.066</v>
      </c>
      <c r="BC18">
        <f t="shared" si="16"/>
        <v>55225810.637999997</v>
      </c>
      <c r="BD18">
        <f t="shared" si="16"/>
        <v>50514657.633000001</v>
      </c>
      <c r="BE18">
        <f t="shared" si="16"/>
        <v>59150269.814999998</v>
      </c>
      <c r="BF18">
        <f t="shared" si="16"/>
        <v>69021883.199000001</v>
      </c>
      <c r="BG18">
        <f t="shared" si="16"/>
        <v>63848099.957000002</v>
      </c>
    </row>
    <row r="19" spans="1:59" x14ac:dyDescent="0.25">
      <c r="A19">
        <f t="shared" si="0"/>
        <v>73481.892000000007</v>
      </c>
      <c r="B19" t="str">
        <f>Export!A18</f>
        <v>024</v>
      </c>
      <c r="C19" t="str">
        <f>Export!B18</f>
        <v>Island</v>
      </c>
      <c r="E19">
        <f t="shared" si="1"/>
        <v>79163.025999999998</v>
      </c>
      <c r="F19" t="str">
        <f>Import!A18</f>
        <v>024</v>
      </c>
      <c r="G19" t="str">
        <f>Import!B18</f>
        <v>Island</v>
      </c>
      <c r="I19">
        <v>2</v>
      </c>
      <c r="J19" t="str">
        <f t="shared" ref="J19:J27" si="17">VLOOKUP(K19,$E$3:$G$261,3,FALSE)</f>
        <v>China</v>
      </c>
      <c r="K19">
        <f t="shared" si="11"/>
        <v>15162034.346000001</v>
      </c>
      <c r="L19" t="str">
        <f t="shared" si="12"/>
        <v>1978</v>
      </c>
      <c r="M19" t="str">
        <f t="shared" si="12"/>
        <v>9999</v>
      </c>
      <c r="N19">
        <f t="shared" si="13"/>
        <v>30062</v>
      </c>
      <c r="O19">
        <f t="shared" si="13"/>
        <v>30254</v>
      </c>
      <c r="P19">
        <f t="shared" si="13"/>
        <v>31033</v>
      </c>
      <c r="Q19">
        <f t="shared" si="13"/>
        <v>49484</v>
      </c>
      <c r="R19">
        <f t="shared" si="13"/>
        <v>36252</v>
      </c>
      <c r="S19">
        <f t="shared" si="13"/>
        <v>41447</v>
      </c>
      <c r="T19">
        <f t="shared" si="13"/>
        <v>54957</v>
      </c>
      <c r="U19">
        <f t="shared" si="13"/>
        <v>79275</v>
      </c>
      <c r="V19">
        <f t="shared" si="13"/>
        <v>65940</v>
      </c>
      <c r="W19">
        <f t="shared" si="13"/>
        <v>100295</v>
      </c>
      <c r="X19">
        <f t="shared" si="14"/>
        <v>145383</v>
      </c>
      <c r="Y19">
        <f t="shared" si="14"/>
        <v>209002</v>
      </c>
      <c r="Z19">
        <f t="shared" si="14"/>
        <v>294444</v>
      </c>
      <c r="AA19">
        <f t="shared" si="14"/>
        <v>391842</v>
      </c>
      <c r="AB19">
        <f t="shared" si="14"/>
        <v>433694</v>
      </c>
      <c r="AC19">
        <f t="shared" si="14"/>
        <v>565417</v>
      </c>
      <c r="AD19">
        <f t="shared" si="14"/>
        <v>703565</v>
      </c>
      <c r="AE19">
        <f t="shared" si="14"/>
        <v>598310.98600000003</v>
      </c>
      <c r="AF19">
        <f t="shared" si="14"/>
        <v>653351.17200000002</v>
      </c>
      <c r="AG19">
        <f t="shared" si="14"/>
        <v>783747.43900000001</v>
      </c>
      <c r="AH19">
        <f t="shared" si="15"/>
        <v>806640.81099999999</v>
      </c>
      <c r="AI19">
        <f t="shared" si="15"/>
        <v>916824.54700000002</v>
      </c>
      <c r="AJ19">
        <f t="shared" si="15"/>
        <v>1243202.5390000001</v>
      </c>
      <c r="AK19">
        <f t="shared" si="15"/>
        <v>1359502.4469999999</v>
      </c>
      <c r="AL19">
        <f t="shared" si="15"/>
        <v>1404883.2960000001</v>
      </c>
      <c r="AM19">
        <f t="shared" si="15"/>
        <v>1788198.52</v>
      </c>
      <c r="AN19">
        <f t="shared" si="15"/>
        <v>2295803.8149999999</v>
      </c>
      <c r="AO19">
        <f t="shared" si="15"/>
        <v>2981350.8640000001</v>
      </c>
      <c r="AP19">
        <f t="shared" si="15"/>
        <v>3776864.2760000001</v>
      </c>
      <c r="AQ19">
        <f t="shared" si="15"/>
        <v>4585740.0449999999</v>
      </c>
      <c r="AR19">
        <f t="shared" si="16"/>
        <v>4975157.4790000003</v>
      </c>
      <c r="AS19">
        <f t="shared" si="16"/>
        <v>4481556.5949999997</v>
      </c>
      <c r="AT19">
        <f t="shared" si="16"/>
        <v>5427580.9050000003</v>
      </c>
      <c r="AU19">
        <f t="shared" si="16"/>
        <v>6393778.1770000001</v>
      </c>
      <c r="AV19">
        <f t="shared" si="16"/>
        <v>6750719.8669999996</v>
      </c>
      <c r="AW19">
        <f t="shared" si="16"/>
        <v>6788047.818</v>
      </c>
      <c r="AX19">
        <f t="shared" si="16"/>
        <v>7322719.1960000005</v>
      </c>
      <c r="AY19">
        <f t="shared" si="16"/>
        <v>7956902.3470000001</v>
      </c>
      <c r="AZ19">
        <f t="shared" si="16"/>
        <v>7971979.3260000004</v>
      </c>
      <c r="BA19">
        <f t="shared" si="16"/>
        <v>8505433.3880000003</v>
      </c>
      <c r="BB19">
        <f t="shared" si="16"/>
        <v>9110251.3389999997</v>
      </c>
      <c r="BC19">
        <f t="shared" si="16"/>
        <v>9828028.807</v>
      </c>
      <c r="BD19">
        <f t="shared" si="16"/>
        <v>10186841.265000001</v>
      </c>
      <c r="BE19">
        <f t="shared" si="16"/>
        <v>13105502.532</v>
      </c>
      <c r="BF19">
        <f t="shared" si="16"/>
        <v>17453332.645</v>
      </c>
      <c r="BG19">
        <f t="shared" si="16"/>
        <v>15162034.346000001</v>
      </c>
    </row>
    <row r="20" spans="1:59" x14ac:dyDescent="0.25">
      <c r="A20">
        <f t="shared" si="0"/>
        <v>0</v>
      </c>
      <c r="B20" t="str">
        <f>Export!A19</f>
        <v>027</v>
      </c>
      <c r="C20" t="str">
        <f>Export!B19</f>
        <v>Svalbard</v>
      </c>
      <c r="E20">
        <f t="shared" si="1"/>
        <v>0</v>
      </c>
      <c r="F20" t="str">
        <f>Import!A19</f>
        <v>027</v>
      </c>
      <c r="G20" t="str">
        <f>Import!B19</f>
        <v>Svalbard</v>
      </c>
      <c r="I20">
        <v>3</v>
      </c>
      <c r="J20" t="str">
        <f t="shared" si="17"/>
        <v>Italien</v>
      </c>
      <c r="K20">
        <f t="shared" si="11"/>
        <v>12904760.889</v>
      </c>
      <c r="L20" t="str">
        <f t="shared" si="12"/>
        <v>1978</v>
      </c>
      <c r="M20" t="str">
        <f t="shared" si="12"/>
        <v>9999</v>
      </c>
      <c r="N20">
        <f t="shared" si="13"/>
        <v>1494729</v>
      </c>
      <c r="O20">
        <f t="shared" si="13"/>
        <v>1822601</v>
      </c>
      <c r="P20">
        <f t="shared" si="13"/>
        <v>2084407</v>
      </c>
      <c r="Q20">
        <f t="shared" si="13"/>
        <v>2024707</v>
      </c>
      <c r="R20">
        <f t="shared" si="13"/>
        <v>2086843</v>
      </c>
      <c r="S20">
        <f t="shared" si="13"/>
        <v>2250659</v>
      </c>
      <c r="T20">
        <f t="shared" si="13"/>
        <v>2455624</v>
      </c>
      <c r="U20">
        <f t="shared" si="13"/>
        <v>2577453</v>
      </c>
      <c r="V20">
        <f t="shared" si="13"/>
        <v>2652621</v>
      </c>
      <c r="W20">
        <f t="shared" si="13"/>
        <v>2810553</v>
      </c>
      <c r="X20">
        <f t="shared" si="14"/>
        <v>2927951</v>
      </c>
      <c r="Y20">
        <f t="shared" si="14"/>
        <v>3355432</v>
      </c>
      <c r="Z20">
        <f t="shared" si="14"/>
        <v>3658892</v>
      </c>
      <c r="AA20">
        <f t="shared" si="14"/>
        <v>3803555</v>
      </c>
      <c r="AB20">
        <f t="shared" si="14"/>
        <v>3723183</v>
      </c>
      <c r="AC20">
        <f t="shared" si="14"/>
        <v>3702571</v>
      </c>
      <c r="AD20">
        <f t="shared" si="14"/>
        <v>4035117</v>
      </c>
      <c r="AE20">
        <f t="shared" si="14"/>
        <v>4252352.2520000003</v>
      </c>
      <c r="AF20">
        <f t="shared" si="14"/>
        <v>4559667.1109999996</v>
      </c>
      <c r="AG20">
        <f t="shared" si="14"/>
        <v>4854800.023</v>
      </c>
      <c r="AH20">
        <f t="shared" si="15"/>
        <v>4906278.2549999999</v>
      </c>
      <c r="AI20">
        <f t="shared" si="15"/>
        <v>4958645.8339999998</v>
      </c>
      <c r="AJ20">
        <f t="shared" si="15"/>
        <v>5353969.7340000002</v>
      </c>
      <c r="AK20">
        <f t="shared" si="15"/>
        <v>5642609.0410000002</v>
      </c>
      <c r="AL20">
        <f t="shared" si="15"/>
        <v>5547624.199</v>
      </c>
      <c r="AM20">
        <f t="shared" si="15"/>
        <v>5686950.0800000001</v>
      </c>
      <c r="AN20">
        <f t="shared" si="15"/>
        <v>6233568.1220000004</v>
      </c>
      <c r="AO20">
        <f t="shared" si="15"/>
        <v>6389489.483</v>
      </c>
      <c r="AP20">
        <f t="shared" si="15"/>
        <v>7182630.3449999997</v>
      </c>
      <c r="AQ20">
        <f t="shared" si="15"/>
        <v>7887893.5489999996</v>
      </c>
      <c r="AR20">
        <f t="shared" si="16"/>
        <v>8274150.8399999999</v>
      </c>
      <c r="AS20">
        <f t="shared" si="16"/>
        <v>6627355.0839999998</v>
      </c>
      <c r="AT20">
        <f t="shared" si="16"/>
        <v>7690185.8499999996</v>
      </c>
      <c r="AU20">
        <f t="shared" si="16"/>
        <v>8526792.3800000008</v>
      </c>
      <c r="AV20">
        <f t="shared" si="16"/>
        <v>8209415.3849999998</v>
      </c>
      <c r="AW20">
        <f t="shared" si="16"/>
        <v>8006515.3909999998</v>
      </c>
      <c r="AX20">
        <f t="shared" si="16"/>
        <v>8033346.6950000003</v>
      </c>
      <c r="AY20">
        <f t="shared" si="16"/>
        <v>8199696.9230000004</v>
      </c>
      <c r="AZ20">
        <f t="shared" si="16"/>
        <v>8394078.5329999998</v>
      </c>
      <c r="BA20">
        <f t="shared" si="16"/>
        <v>9087565.0289999992</v>
      </c>
      <c r="BB20">
        <f t="shared" si="16"/>
        <v>9955026.6319999993</v>
      </c>
      <c r="BC20">
        <f t="shared" si="16"/>
        <v>10368060.702</v>
      </c>
      <c r="BD20">
        <f t="shared" si="16"/>
        <v>9119143.2019999996</v>
      </c>
      <c r="BE20">
        <f t="shared" si="16"/>
        <v>11571082.379000001</v>
      </c>
      <c r="BF20">
        <f t="shared" si="16"/>
        <v>13436744.431</v>
      </c>
      <c r="BG20">
        <f t="shared" si="16"/>
        <v>12904760.889</v>
      </c>
    </row>
    <row r="21" spans="1:59" x14ac:dyDescent="0.25">
      <c r="A21">
        <f t="shared" si="0"/>
        <v>619501.071</v>
      </c>
      <c r="B21" t="str">
        <f>Export!A20</f>
        <v>028</v>
      </c>
      <c r="C21" t="str">
        <f>Export!B20</f>
        <v>Norwegen</v>
      </c>
      <c r="E21">
        <f t="shared" si="1"/>
        <v>500090.63</v>
      </c>
      <c r="F21" t="str">
        <f>Import!A20</f>
        <v>028</v>
      </c>
      <c r="G21" t="str">
        <f>Import!B20</f>
        <v>Norwegen</v>
      </c>
      <c r="I21">
        <v>4</v>
      </c>
      <c r="J21" t="str">
        <f t="shared" si="17"/>
        <v>Schweiz</v>
      </c>
      <c r="K21">
        <f t="shared" si="11"/>
        <v>10276270.222999999</v>
      </c>
      <c r="L21" t="str">
        <f t="shared" si="12"/>
        <v>1978</v>
      </c>
      <c r="M21" t="str">
        <f t="shared" si="12"/>
        <v>9999</v>
      </c>
      <c r="N21">
        <f t="shared" si="13"/>
        <v>1035500</v>
      </c>
      <c r="O21">
        <f t="shared" si="13"/>
        <v>1052555</v>
      </c>
      <c r="P21">
        <f t="shared" si="13"/>
        <v>1146997</v>
      </c>
      <c r="Q21">
        <f t="shared" si="13"/>
        <v>1159320</v>
      </c>
      <c r="R21">
        <f t="shared" si="13"/>
        <v>1156892</v>
      </c>
      <c r="S21">
        <f t="shared" si="13"/>
        <v>1201917</v>
      </c>
      <c r="T21">
        <f t="shared" si="13"/>
        <v>1265174</v>
      </c>
      <c r="U21">
        <f t="shared" si="13"/>
        <v>1412432</v>
      </c>
      <c r="V21">
        <f t="shared" si="13"/>
        <v>1435335</v>
      </c>
      <c r="W21">
        <f t="shared" si="13"/>
        <v>1409936</v>
      </c>
      <c r="X21">
        <f t="shared" si="14"/>
        <v>1445472</v>
      </c>
      <c r="Y21">
        <f t="shared" si="14"/>
        <v>1547786</v>
      </c>
      <c r="Z21">
        <f t="shared" si="14"/>
        <v>1720826</v>
      </c>
      <c r="AA21">
        <f t="shared" si="14"/>
        <v>1794136</v>
      </c>
      <c r="AB21">
        <f t="shared" si="14"/>
        <v>1728339</v>
      </c>
      <c r="AC21">
        <f t="shared" si="14"/>
        <v>1676960</v>
      </c>
      <c r="AD21">
        <f t="shared" si="14"/>
        <v>1862574</v>
      </c>
      <c r="AE21">
        <f t="shared" si="14"/>
        <v>1857724.6059999999</v>
      </c>
      <c r="AF21">
        <f t="shared" si="14"/>
        <v>1808843.4029999999</v>
      </c>
      <c r="AG21">
        <f t="shared" si="14"/>
        <v>1909062.372</v>
      </c>
      <c r="AH21">
        <f t="shared" si="15"/>
        <v>2113048.3289999999</v>
      </c>
      <c r="AI21">
        <f t="shared" si="15"/>
        <v>2229960.88</v>
      </c>
      <c r="AJ21">
        <f t="shared" si="15"/>
        <v>2279695.1660000002</v>
      </c>
      <c r="AK21">
        <f t="shared" si="15"/>
        <v>2527653.2379999999</v>
      </c>
      <c r="AL21">
        <f t="shared" si="15"/>
        <v>2533368.9610000001</v>
      </c>
      <c r="AM21">
        <f t="shared" si="15"/>
        <v>3312596.6030000001</v>
      </c>
      <c r="AN21">
        <f t="shared" si="15"/>
        <v>2732002.787</v>
      </c>
      <c r="AO21">
        <f t="shared" si="15"/>
        <v>3214127.29</v>
      </c>
      <c r="AP21">
        <f t="shared" si="15"/>
        <v>3495101.5690000001</v>
      </c>
      <c r="AQ21">
        <f t="shared" si="15"/>
        <v>4236874.7410000004</v>
      </c>
      <c r="AR21">
        <f t="shared" si="16"/>
        <v>5021343.8820000002</v>
      </c>
      <c r="AS21">
        <f t="shared" si="16"/>
        <v>5620179.1339999996</v>
      </c>
      <c r="AT21">
        <f t="shared" si="16"/>
        <v>5941150.807</v>
      </c>
      <c r="AU21">
        <f t="shared" si="16"/>
        <v>7044902.5209999997</v>
      </c>
      <c r="AV21">
        <f t="shared" si="16"/>
        <v>6869556.8669999996</v>
      </c>
      <c r="AW21">
        <f t="shared" si="16"/>
        <v>6821990.0209999997</v>
      </c>
      <c r="AX21">
        <f t="shared" si="16"/>
        <v>6633011.0820000004</v>
      </c>
      <c r="AY21">
        <f t="shared" si="16"/>
        <v>7498297.7960000001</v>
      </c>
      <c r="AZ21">
        <f t="shared" si="16"/>
        <v>7102537.2960000001</v>
      </c>
      <c r="BA21">
        <f t="shared" si="16"/>
        <v>7624574.3899999997</v>
      </c>
      <c r="BB21">
        <f t="shared" si="16"/>
        <v>6801878.7230000002</v>
      </c>
      <c r="BC21">
        <f t="shared" si="16"/>
        <v>6067742.0010000002</v>
      </c>
      <c r="BD21">
        <f t="shared" si="16"/>
        <v>7616832.9119999995</v>
      </c>
      <c r="BE21">
        <f t="shared" si="16"/>
        <v>9726186.4649999999</v>
      </c>
      <c r="BF21">
        <f t="shared" si="16"/>
        <v>10025580.778000001</v>
      </c>
      <c r="BG21">
        <f t="shared" si="16"/>
        <v>10276270.222999999</v>
      </c>
    </row>
    <row r="22" spans="1:59" x14ac:dyDescent="0.25">
      <c r="A22">
        <f t="shared" si="0"/>
        <v>1878285.453</v>
      </c>
      <c r="B22" t="str">
        <f>Export!A21</f>
        <v>030</v>
      </c>
      <c r="C22" t="str">
        <f>Export!B21</f>
        <v>Schweden</v>
      </c>
      <c r="E22">
        <f t="shared" si="1"/>
        <v>2053044.402</v>
      </c>
      <c r="F22" t="str">
        <f>Import!A21</f>
        <v>030</v>
      </c>
      <c r="G22" t="str">
        <f>Import!B21</f>
        <v>Schweden</v>
      </c>
      <c r="I22">
        <v>5</v>
      </c>
      <c r="J22" t="str">
        <f t="shared" si="17"/>
        <v>Tschechische Republik</v>
      </c>
      <c r="K22">
        <f t="shared" si="11"/>
        <v>8327011.9390000002</v>
      </c>
      <c r="L22" t="str">
        <f t="shared" si="12"/>
        <v>1993</v>
      </c>
      <c r="M22" t="str">
        <f t="shared" si="12"/>
        <v>9999</v>
      </c>
      <c r="N22">
        <f t="shared" si="13"/>
        <v>0</v>
      </c>
      <c r="O22">
        <f t="shared" si="13"/>
        <v>0</v>
      </c>
      <c r="P22">
        <f t="shared" si="13"/>
        <v>0</v>
      </c>
      <c r="Q22">
        <f t="shared" si="13"/>
        <v>0</v>
      </c>
      <c r="R22">
        <f t="shared" si="13"/>
        <v>0</v>
      </c>
      <c r="S22">
        <f t="shared" si="13"/>
        <v>0</v>
      </c>
      <c r="T22">
        <f t="shared" si="13"/>
        <v>0</v>
      </c>
      <c r="U22">
        <f t="shared" si="13"/>
        <v>0</v>
      </c>
      <c r="V22">
        <f t="shared" si="13"/>
        <v>0</v>
      </c>
      <c r="W22">
        <f t="shared" si="13"/>
        <v>0</v>
      </c>
      <c r="X22">
        <f t="shared" si="14"/>
        <v>0</v>
      </c>
      <c r="Y22">
        <f t="shared" si="14"/>
        <v>0</v>
      </c>
      <c r="Z22">
        <f t="shared" si="14"/>
        <v>0</v>
      </c>
      <c r="AA22">
        <f t="shared" si="14"/>
        <v>0</v>
      </c>
      <c r="AB22">
        <f t="shared" si="14"/>
        <v>0</v>
      </c>
      <c r="AC22">
        <f t="shared" si="14"/>
        <v>663575</v>
      </c>
      <c r="AD22">
        <f t="shared" si="14"/>
        <v>820458</v>
      </c>
      <c r="AE22">
        <f t="shared" si="14"/>
        <v>917810.99399999995</v>
      </c>
      <c r="AF22">
        <f t="shared" si="14"/>
        <v>1043844.069</v>
      </c>
      <c r="AG22">
        <f t="shared" si="14"/>
        <v>1277688.9879999999</v>
      </c>
      <c r="AH22">
        <f t="shared" si="15"/>
        <v>1448723.3289999999</v>
      </c>
      <c r="AI22">
        <f t="shared" si="15"/>
        <v>1625587.585</v>
      </c>
      <c r="AJ22">
        <f t="shared" si="15"/>
        <v>1921120.14</v>
      </c>
      <c r="AK22">
        <f t="shared" si="15"/>
        <v>2118887.625</v>
      </c>
      <c r="AL22">
        <f t="shared" si="15"/>
        <v>2235792.6800000002</v>
      </c>
      <c r="AM22">
        <f t="shared" si="15"/>
        <v>2631366.7039999999</v>
      </c>
      <c r="AN22">
        <f t="shared" si="15"/>
        <v>2886097.2370000002</v>
      </c>
      <c r="AO22">
        <f t="shared" si="15"/>
        <v>3189198.7790000001</v>
      </c>
      <c r="AP22">
        <f t="shared" si="15"/>
        <v>3354315.4240000001</v>
      </c>
      <c r="AQ22">
        <f t="shared" si="15"/>
        <v>3638394.3459999999</v>
      </c>
      <c r="AR22">
        <f t="shared" si="16"/>
        <v>4237270.693</v>
      </c>
      <c r="AS22">
        <f t="shared" si="16"/>
        <v>3382444.55</v>
      </c>
      <c r="AT22">
        <f t="shared" si="16"/>
        <v>4186430.6570000001</v>
      </c>
      <c r="AU22">
        <f t="shared" si="16"/>
        <v>4879005.1629999997</v>
      </c>
      <c r="AV22">
        <f t="shared" si="16"/>
        <v>4894193.358</v>
      </c>
      <c r="AW22">
        <f t="shared" si="16"/>
        <v>5263671.2769999998</v>
      </c>
      <c r="AX22">
        <f t="shared" si="16"/>
        <v>5405234.4510000004</v>
      </c>
      <c r="AY22">
        <f t="shared" si="16"/>
        <v>5577272.2249999996</v>
      </c>
      <c r="AZ22">
        <f t="shared" si="16"/>
        <v>5865777.7599999998</v>
      </c>
      <c r="BA22">
        <f t="shared" si="16"/>
        <v>6349910.4069999997</v>
      </c>
      <c r="BB22">
        <f t="shared" si="16"/>
        <v>6788972.9529999997</v>
      </c>
      <c r="BC22">
        <f t="shared" si="16"/>
        <v>6628232.9900000002</v>
      </c>
      <c r="BD22">
        <f t="shared" si="16"/>
        <v>6014312.7699999996</v>
      </c>
      <c r="BE22">
        <f t="shared" si="16"/>
        <v>7761996.0659999996</v>
      </c>
      <c r="BF22">
        <f t="shared" si="16"/>
        <v>9819273.6659999993</v>
      </c>
      <c r="BG22">
        <f t="shared" si="16"/>
        <v>8327011.9390000002</v>
      </c>
    </row>
    <row r="23" spans="1:59" x14ac:dyDescent="0.25">
      <c r="A23">
        <f t="shared" si="0"/>
        <v>744071.429</v>
      </c>
      <c r="B23" t="str">
        <f>Export!A22</f>
        <v>032</v>
      </c>
      <c r="C23" t="str">
        <f>Export!B22</f>
        <v>Finnland</v>
      </c>
      <c r="E23">
        <f t="shared" si="1"/>
        <v>596731.15399999998</v>
      </c>
      <c r="F23" t="str">
        <f>Import!A22</f>
        <v>032</v>
      </c>
      <c r="G23" t="str">
        <f>Import!B22</f>
        <v>Finnland</v>
      </c>
      <c r="I23">
        <v>6</v>
      </c>
      <c r="J23" t="str">
        <f t="shared" si="17"/>
        <v>Vereinigte Staaten</v>
      </c>
      <c r="K23">
        <f t="shared" si="11"/>
        <v>7917107.6940000001</v>
      </c>
      <c r="L23" t="str">
        <f t="shared" si="12"/>
        <v>1978</v>
      </c>
      <c r="M23" t="str">
        <f t="shared" si="12"/>
        <v>9999</v>
      </c>
      <c r="N23">
        <f t="shared" si="13"/>
        <v>511775</v>
      </c>
      <c r="O23">
        <f t="shared" si="13"/>
        <v>622296</v>
      </c>
      <c r="P23">
        <f t="shared" si="13"/>
        <v>776225</v>
      </c>
      <c r="Q23">
        <f t="shared" si="13"/>
        <v>995058</v>
      </c>
      <c r="R23">
        <f t="shared" si="13"/>
        <v>910473</v>
      </c>
      <c r="S23">
        <f t="shared" si="13"/>
        <v>852272</v>
      </c>
      <c r="T23">
        <f t="shared" si="13"/>
        <v>999388</v>
      </c>
      <c r="U23">
        <f t="shared" si="13"/>
        <v>1166814</v>
      </c>
      <c r="V23">
        <f t="shared" si="13"/>
        <v>954272</v>
      </c>
      <c r="W23">
        <f t="shared" si="13"/>
        <v>1036365</v>
      </c>
      <c r="X23">
        <f t="shared" si="14"/>
        <v>1115303</v>
      </c>
      <c r="Y23">
        <f t="shared" si="14"/>
        <v>1355330</v>
      </c>
      <c r="Z23">
        <f t="shared" si="14"/>
        <v>1470780</v>
      </c>
      <c r="AA23">
        <f t="shared" si="14"/>
        <v>1700810</v>
      </c>
      <c r="AB23">
        <f t="shared" si="14"/>
        <v>1703893</v>
      </c>
      <c r="AC23">
        <f t="shared" si="14"/>
        <v>1810790</v>
      </c>
      <c r="AD23">
        <f t="shared" si="14"/>
        <v>1998931</v>
      </c>
      <c r="AE23">
        <f t="shared" si="14"/>
        <v>2058868.6170000001</v>
      </c>
      <c r="AF23">
        <f t="shared" si="14"/>
        <v>2309566.3629999999</v>
      </c>
      <c r="AG23">
        <f t="shared" si="14"/>
        <v>3074670.0449999999</v>
      </c>
      <c r="AH23">
        <f t="shared" si="15"/>
        <v>2953689.7370000002</v>
      </c>
      <c r="AI23">
        <f t="shared" si="15"/>
        <v>3490020.6919999998</v>
      </c>
      <c r="AJ23">
        <f t="shared" si="15"/>
        <v>4107738.5380000002</v>
      </c>
      <c r="AK23">
        <f t="shared" si="15"/>
        <v>4209873.8990000002</v>
      </c>
      <c r="AL23">
        <f t="shared" si="15"/>
        <v>3735429.92</v>
      </c>
      <c r="AM23">
        <f t="shared" si="15"/>
        <v>3126696.8489999999</v>
      </c>
      <c r="AN23">
        <f t="shared" si="15"/>
        <v>2958325.0410000002</v>
      </c>
      <c r="AO23">
        <f t="shared" si="15"/>
        <v>3174820.0619999999</v>
      </c>
      <c r="AP23">
        <f t="shared" si="15"/>
        <v>3461996.8960000002</v>
      </c>
      <c r="AQ23">
        <f t="shared" si="15"/>
        <v>3742913.969</v>
      </c>
      <c r="AR23">
        <f t="shared" si="16"/>
        <v>3405211.8420000002</v>
      </c>
      <c r="AS23">
        <f t="shared" si="16"/>
        <v>2562087.8659999999</v>
      </c>
      <c r="AT23">
        <f t="shared" si="16"/>
        <v>3261353.3369999998</v>
      </c>
      <c r="AU23">
        <f t="shared" si="16"/>
        <v>3764079.469</v>
      </c>
      <c r="AV23">
        <f t="shared" si="16"/>
        <v>4114261.1189999999</v>
      </c>
      <c r="AW23">
        <f t="shared" si="16"/>
        <v>4318289.9550000001</v>
      </c>
      <c r="AX23">
        <f t="shared" si="16"/>
        <v>4404228.4850000003</v>
      </c>
      <c r="AY23">
        <f t="shared" si="16"/>
        <v>5255230.3119999999</v>
      </c>
      <c r="AZ23">
        <f t="shared" si="16"/>
        <v>5002043.6440000003</v>
      </c>
      <c r="BA23">
        <f t="shared" si="16"/>
        <v>5813056.7479999997</v>
      </c>
      <c r="BB23">
        <f t="shared" si="16"/>
        <v>5984147.0190000003</v>
      </c>
      <c r="BC23">
        <f t="shared" si="16"/>
        <v>7092936.574</v>
      </c>
      <c r="BD23">
        <f t="shared" si="16"/>
        <v>5259199.09</v>
      </c>
      <c r="BE23">
        <f t="shared" si="16"/>
        <v>5700036.733</v>
      </c>
      <c r="BF23">
        <f t="shared" si="16"/>
        <v>7256645.1509999996</v>
      </c>
      <c r="BG23">
        <f t="shared" si="16"/>
        <v>7917107.6940000001</v>
      </c>
    </row>
    <row r="24" spans="1:59" x14ac:dyDescent="0.25">
      <c r="A24">
        <f t="shared" si="0"/>
        <v>417203.87400000001</v>
      </c>
      <c r="B24" t="str">
        <f>Export!A23</f>
        <v>037</v>
      </c>
      <c r="C24" t="str">
        <f>Export!B23</f>
        <v>Liechtenstein</v>
      </c>
      <c r="E24">
        <f t="shared" si="1"/>
        <v>1337867.6499999999</v>
      </c>
      <c r="F24" t="str">
        <f>Import!A23</f>
        <v>037</v>
      </c>
      <c r="G24" t="str">
        <f>Import!B23</f>
        <v>Liechtenstein</v>
      </c>
      <c r="I24">
        <v>7</v>
      </c>
      <c r="J24" t="str">
        <f t="shared" si="17"/>
        <v>Polen</v>
      </c>
      <c r="K24">
        <f t="shared" si="11"/>
        <v>6646616.0930000003</v>
      </c>
      <c r="L24" t="str">
        <f t="shared" si="12"/>
        <v>1978</v>
      </c>
      <c r="M24" t="str">
        <f t="shared" si="12"/>
        <v>9999</v>
      </c>
      <c r="N24">
        <f t="shared" si="13"/>
        <v>157879</v>
      </c>
      <c r="O24">
        <f t="shared" si="13"/>
        <v>195985</v>
      </c>
      <c r="P24">
        <f t="shared" si="13"/>
        <v>225674</v>
      </c>
      <c r="Q24">
        <f t="shared" si="13"/>
        <v>189156</v>
      </c>
      <c r="R24">
        <f t="shared" si="13"/>
        <v>232563</v>
      </c>
      <c r="S24">
        <f t="shared" si="13"/>
        <v>258829</v>
      </c>
      <c r="T24">
        <f t="shared" si="13"/>
        <v>365933</v>
      </c>
      <c r="U24">
        <f t="shared" si="13"/>
        <v>346895</v>
      </c>
      <c r="V24">
        <f t="shared" si="13"/>
        <v>315503</v>
      </c>
      <c r="W24">
        <f t="shared" si="13"/>
        <v>291935</v>
      </c>
      <c r="X24">
        <f t="shared" si="14"/>
        <v>307944</v>
      </c>
      <c r="Y24">
        <f t="shared" si="14"/>
        <v>316174</v>
      </c>
      <c r="Z24">
        <f t="shared" si="14"/>
        <v>364178</v>
      </c>
      <c r="AA24">
        <f t="shared" si="14"/>
        <v>410871</v>
      </c>
      <c r="AB24">
        <f t="shared" si="14"/>
        <v>364138</v>
      </c>
      <c r="AC24">
        <f t="shared" si="14"/>
        <v>340021</v>
      </c>
      <c r="AD24">
        <f t="shared" si="14"/>
        <v>375378</v>
      </c>
      <c r="AE24">
        <f t="shared" si="14"/>
        <v>463104.93900000001</v>
      </c>
      <c r="AF24">
        <f t="shared" si="14"/>
        <v>411564.272</v>
      </c>
      <c r="AG24">
        <f t="shared" si="14"/>
        <v>512302.761</v>
      </c>
      <c r="AH24">
        <f t="shared" si="15"/>
        <v>586648.90300000005</v>
      </c>
      <c r="AI24">
        <f t="shared" si="15"/>
        <v>594374.60800000001</v>
      </c>
      <c r="AJ24">
        <f t="shared" si="15"/>
        <v>756900.05799999996</v>
      </c>
      <c r="AK24">
        <f t="shared" si="15"/>
        <v>938292.64</v>
      </c>
      <c r="AL24">
        <f t="shared" si="15"/>
        <v>926137.75100000005</v>
      </c>
      <c r="AM24">
        <f t="shared" si="15"/>
        <v>979662.09699999995</v>
      </c>
      <c r="AN24">
        <f t="shared" si="15"/>
        <v>1111635.9790000001</v>
      </c>
      <c r="AO24">
        <f t="shared" si="15"/>
        <v>1488915.06</v>
      </c>
      <c r="AP24">
        <f t="shared" si="15"/>
        <v>1616829.2509999999</v>
      </c>
      <c r="AQ24">
        <f t="shared" si="15"/>
        <v>1820158.845</v>
      </c>
      <c r="AR24">
        <f t="shared" si="16"/>
        <v>2144664.3470000001</v>
      </c>
      <c r="AS24">
        <f t="shared" si="16"/>
        <v>1560095.669</v>
      </c>
      <c r="AT24">
        <f t="shared" si="16"/>
        <v>1895871.39</v>
      </c>
      <c r="AU24">
        <f t="shared" si="16"/>
        <v>2433118.3149999999</v>
      </c>
      <c r="AV24">
        <f t="shared" si="16"/>
        <v>2643095.8870000001</v>
      </c>
      <c r="AW24">
        <f t="shared" si="16"/>
        <v>2581561.5929999999</v>
      </c>
      <c r="AX24">
        <f t="shared" si="16"/>
        <v>2569482.4079999998</v>
      </c>
      <c r="AY24">
        <f t="shared" si="16"/>
        <v>2985415.8110000002</v>
      </c>
      <c r="AZ24">
        <f t="shared" si="16"/>
        <v>3334969.5189999999</v>
      </c>
      <c r="BA24">
        <f t="shared" si="16"/>
        <v>3804950.7</v>
      </c>
      <c r="BB24">
        <f t="shared" si="16"/>
        <v>4196147.6169999996</v>
      </c>
      <c r="BC24">
        <f t="shared" si="16"/>
        <v>4656904.9809999997</v>
      </c>
      <c r="BD24">
        <f t="shared" si="16"/>
        <v>4499087.8609999996</v>
      </c>
      <c r="BE24">
        <f t="shared" si="16"/>
        <v>5770288.4000000004</v>
      </c>
      <c r="BF24">
        <f t="shared" si="16"/>
        <v>7027344.9570000004</v>
      </c>
      <c r="BG24">
        <f t="shared" si="16"/>
        <v>6646616.0930000003</v>
      </c>
    </row>
    <row r="25" spans="1:59" x14ac:dyDescent="0.25">
      <c r="A25">
        <f t="shared" si="0"/>
        <v>9957421.1699999999</v>
      </c>
      <c r="B25" t="str">
        <f>Export!A24</f>
        <v>039</v>
      </c>
      <c r="C25" t="str">
        <f>Export!B24</f>
        <v>Schweiz</v>
      </c>
      <c r="E25">
        <f t="shared" si="1"/>
        <v>10276270.222999999</v>
      </c>
      <c r="F25" t="str">
        <f>Import!A24</f>
        <v>039</v>
      </c>
      <c r="G25" t="str">
        <f>Import!B24</f>
        <v>Schweiz</v>
      </c>
      <c r="I25">
        <v>8</v>
      </c>
      <c r="J25" t="str">
        <f t="shared" si="17"/>
        <v>Niederlande</v>
      </c>
      <c r="K25">
        <f t="shared" si="11"/>
        <v>5493852.5520000001</v>
      </c>
      <c r="L25" t="str">
        <f t="shared" si="12"/>
        <v>1978</v>
      </c>
      <c r="M25" t="str">
        <f t="shared" si="12"/>
        <v>9999</v>
      </c>
      <c r="N25">
        <f t="shared" si="13"/>
        <v>486284</v>
      </c>
      <c r="O25">
        <f t="shared" si="13"/>
        <v>579234</v>
      </c>
      <c r="P25">
        <f t="shared" si="13"/>
        <v>618757</v>
      </c>
      <c r="Q25">
        <f t="shared" si="13"/>
        <v>607243</v>
      </c>
      <c r="R25">
        <f t="shared" si="13"/>
        <v>667213</v>
      </c>
      <c r="S25">
        <f t="shared" si="13"/>
        <v>695816</v>
      </c>
      <c r="T25">
        <f t="shared" si="13"/>
        <v>742038</v>
      </c>
      <c r="U25">
        <f t="shared" si="13"/>
        <v>828584</v>
      </c>
      <c r="V25">
        <f t="shared" si="13"/>
        <v>820340</v>
      </c>
      <c r="W25">
        <f t="shared" si="13"/>
        <v>826283</v>
      </c>
      <c r="X25">
        <f t="shared" si="14"/>
        <v>916155</v>
      </c>
      <c r="Y25">
        <f t="shared" si="14"/>
        <v>1029035</v>
      </c>
      <c r="Z25">
        <f t="shared" si="14"/>
        <v>1143340</v>
      </c>
      <c r="AA25">
        <f t="shared" si="14"/>
        <v>1153807</v>
      </c>
      <c r="AB25">
        <f t="shared" si="14"/>
        <v>1166029</v>
      </c>
      <c r="AC25">
        <f t="shared" si="14"/>
        <v>1187941</v>
      </c>
      <c r="AD25">
        <f t="shared" si="14"/>
        <v>1378559</v>
      </c>
      <c r="AE25">
        <f t="shared" si="14"/>
        <v>1666934.1910000001</v>
      </c>
      <c r="AF25">
        <f t="shared" si="14"/>
        <v>1663420.527</v>
      </c>
      <c r="AG25">
        <f t="shared" si="14"/>
        <v>1906155.933</v>
      </c>
      <c r="AH25">
        <f t="shared" si="15"/>
        <v>2105933.872</v>
      </c>
      <c r="AI25">
        <f t="shared" si="15"/>
        <v>2081347.236</v>
      </c>
      <c r="AJ25">
        <f t="shared" si="15"/>
        <v>2285120.5129999998</v>
      </c>
      <c r="AK25">
        <f t="shared" si="15"/>
        <v>2299078.2080000001</v>
      </c>
      <c r="AL25">
        <f t="shared" si="15"/>
        <v>2552950.44</v>
      </c>
      <c r="AM25">
        <f t="shared" si="15"/>
        <v>2427270.1069999998</v>
      </c>
      <c r="AN25">
        <f t="shared" si="15"/>
        <v>2556809.2000000002</v>
      </c>
      <c r="AO25">
        <f t="shared" si="15"/>
        <v>2706233.63</v>
      </c>
      <c r="AP25">
        <f t="shared" si="15"/>
        <v>3048563.6230000001</v>
      </c>
      <c r="AQ25">
        <f t="shared" si="15"/>
        <v>3401536.2370000002</v>
      </c>
      <c r="AR25">
        <f t="shared" si="16"/>
        <v>3369109.4840000002</v>
      </c>
      <c r="AS25">
        <f t="shared" si="16"/>
        <v>2766580.2650000001</v>
      </c>
      <c r="AT25">
        <f t="shared" si="16"/>
        <v>3230503.1690000002</v>
      </c>
      <c r="AU25">
        <f t="shared" si="16"/>
        <v>3670401.588</v>
      </c>
      <c r="AV25">
        <f t="shared" si="16"/>
        <v>3590787.26</v>
      </c>
      <c r="AW25">
        <f t="shared" si="16"/>
        <v>3409845.3659999999</v>
      </c>
      <c r="AX25">
        <f t="shared" si="16"/>
        <v>3483417.65</v>
      </c>
      <c r="AY25">
        <f t="shared" si="16"/>
        <v>3520044.233</v>
      </c>
      <c r="AZ25">
        <f t="shared" si="16"/>
        <v>3487057.24</v>
      </c>
      <c r="BA25">
        <f t="shared" si="16"/>
        <v>4086818.9</v>
      </c>
      <c r="BB25">
        <f t="shared" si="16"/>
        <v>4276346.1500000004</v>
      </c>
      <c r="BC25">
        <f t="shared" si="16"/>
        <v>4230751.59</v>
      </c>
      <c r="BD25">
        <f t="shared" si="16"/>
        <v>3982763.2480000001</v>
      </c>
      <c r="BE25">
        <f t="shared" si="16"/>
        <v>4778323.1909999996</v>
      </c>
      <c r="BF25">
        <f t="shared" si="16"/>
        <v>5839254.2410000004</v>
      </c>
      <c r="BG25">
        <f t="shared" si="16"/>
        <v>5493852.5520000001</v>
      </c>
    </row>
    <row r="26" spans="1:59" x14ac:dyDescent="0.25">
      <c r="A26">
        <f t="shared" si="0"/>
        <v>2808.6350000000002</v>
      </c>
      <c r="B26" t="str">
        <f>Export!A25</f>
        <v>041</v>
      </c>
      <c r="C26" t="str">
        <f>Export!B25</f>
        <v>Färöerinseln</v>
      </c>
      <c r="E26">
        <f t="shared" si="1"/>
        <v>515.96299999999997</v>
      </c>
      <c r="F26" t="str">
        <f>Import!A25</f>
        <v>041</v>
      </c>
      <c r="G26" t="str">
        <f>Import!B25</f>
        <v>Färöerinseln</v>
      </c>
      <c r="I26">
        <v>9</v>
      </c>
      <c r="J26" t="str">
        <f t="shared" si="17"/>
        <v>Frankreich</v>
      </c>
      <c r="K26">
        <f t="shared" si="11"/>
        <v>5320496.3669999996</v>
      </c>
      <c r="L26" t="str">
        <f t="shared" si="12"/>
        <v>1978</v>
      </c>
      <c r="M26" t="str">
        <f t="shared" si="12"/>
        <v>9999</v>
      </c>
      <c r="N26">
        <f t="shared" si="13"/>
        <v>683185</v>
      </c>
      <c r="O26">
        <f t="shared" si="13"/>
        <v>801117</v>
      </c>
      <c r="P26">
        <f t="shared" si="13"/>
        <v>905721</v>
      </c>
      <c r="Q26">
        <f t="shared" si="13"/>
        <v>909990</v>
      </c>
      <c r="R26">
        <f t="shared" si="13"/>
        <v>935529</v>
      </c>
      <c r="S26">
        <f t="shared" si="13"/>
        <v>1038086</v>
      </c>
      <c r="T26">
        <f t="shared" si="13"/>
        <v>1056408</v>
      </c>
      <c r="U26">
        <f t="shared" si="13"/>
        <v>1136339</v>
      </c>
      <c r="V26">
        <f t="shared" si="13"/>
        <v>1161944</v>
      </c>
      <c r="W26">
        <f t="shared" si="13"/>
        <v>1212698</v>
      </c>
      <c r="X26">
        <f t="shared" si="14"/>
        <v>1290770</v>
      </c>
      <c r="Y26">
        <f t="shared" si="14"/>
        <v>1647995</v>
      </c>
      <c r="Z26">
        <f t="shared" si="14"/>
        <v>1698699</v>
      </c>
      <c r="AA26">
        <f t="shared" si="14"/>
        <v>1872526</v>
      </c>
      <c r="AB26">
        <f t="shared" si="14"/>
        <v>1916532</v>
      </c>
      <c r="AC26">
        <f t="shared" si="14"/>
        <v>1802707</v>
      </c>
      <c r="AD26">
        <f t="shared" si="14"/>
        <v>2153028</v>
      </c>
      <c r="AE26">
        <f t="shared" si="14"/>
        <v>2386111.7149999999</v>
      </c>
      <c r="AF26">
        <f t="shared" si="14"/>
        <v>2486478.1069999998</v>
      </c>
      <c r="AG26">
        <f t="shared" si="14"/>
        <v>2687449.5040000002</v>
      </c>
      <c r="AH26">
        <f t="shared" si="15"/>
        <v>3002644.6869999999</v>
      </c>
      <c r="AI26">
        <f t="shared" si="15"/>
        <v>3291056.7910000002</v>
      </c>
      <c r="AJ26">
        <f t="shared" si="15"/>
        <v>3312314.98</v>
      </c>
      <c r="AK26">
        <f t="shared" si="15"/>
        <v>3198094.227</v>
      </c>
      <c r="AL26">
        <f t="shared" si="15"/>
        <v>2980596.0529999998</v>
      </c>
      <c r="AM26">
        <f t="shared" si="15"/>
        <v>3145640.1830000002</v>
      </c>
      <c r="AN26">
        <f t="shared" si="15"/>
        <v>3643885.03</v>
      </c>
      <c r="AO26">
        <f t="shared" si="15"/>
        <v>3897433.8620000002</v>
      </c>
      <c r="AP26">
        <f t="shared" si="15"/>
        <v>3597656.264</v>
      </c>
      <c r="AQ26">
        <f t="shared" si="15"/>
        <v>3674128.747</v>
      </c>
      <c r="AR26">
        <f t="shared" si="16"/>
        <v>3712262.1349999998</v>
      </c>
      <c r="AS26">
        <f t="shared" si="16"/>
        <v>2972958.6970000002</v>
      </c>
      <c r="AT26">
        <f t="shared" si="16"/>
        <v>3234419.8190000001</v>
      </c>
      <c r="AU26">
        <f t="shared" si="16"/>
        <v>3759621.9920000001</v>
      </c>
      <c r="AV26">
        <f t="shared" si="16"/>
        <v>3727293.28</v>
      </c>
      <c r="AW26">
        <f t="shared" si="16"/>
        <v>3762526.7990000001</v>
      </c>
      <c r="AX26">
        <f t="shared" si="16"/>
        <v>3629458.6880000001</v>
      </c>
      <c r="AY26">
        <f t="shared" si="16"/>
        <v>3584711.926</v>
      </c>
      <c r="AZ26">
        <f t="shared" si="16"/>
        <v>3651419.0109999999</v>
      </c>
      <c r="BA26">
        <f t="shared" si="16"/>
        <v>3952305.6779999998</v>
      </c>
      <c r="BB26">
        <f t="shared" si="16"/>
        <v>4282996.3770000003</v>
      </c>
      <c r="BC26">
        <f t="shared" si="16"/>
        <v>4224576.483</v>
      </c>
      <c r="BD26">
        <f t="shared" si="16"/>
        <v>3742253.0529999998</v>
      </c>
      <c r="BE26">
        <f t="shared" si="16"/>
        <v>4544452.8890000004</v>
      </c>
      <c r="BF26">
        <f t="shared" si="16"/>
        <v>5120920.335</v>
      </c>
      <c r="BG26">
        <f t="shared" si="16"/>
        <v>5320496.3669999996</v>
      </c>
    </row>
    <row r="27" spans="1:59" x14ac:dyDescent="0.25">
      <c r="A27">
        <f t="shared" si="0"/>
        <v>14026.803</v>
      </c>
      <c r="B27" t="str">
        <f>Export!A26</f>
        <v>043</v>
      </c>
      <c r="C27" t="str">
        <f>Export!B26</f>
        <v>Andorra</v>
      </c>
      <c r="E27">
        <f t="shared" si="1"/>
        <v>364.83600000000001</v>
      </c>
      <c r="F27" t="str">
        <f>Import!A26</f>
        <v>043</v>
      </c>
      <c r="G27" t="str">
        <f>Import!B26</f>
        <v>Andorra</v>
      </c>
      <c r="I27">
        <v>10</v>
      </c>
      <c r="J27" t="str">
        <f t="shared" si="17"/>
        <v>Ungarn</v>
      </c>
      <c r="K27">
        <f t="shared" si="11"/>
        <v>5019084.5880000005</v>
      </c>
      <c r="L27" t="str">
        <f t="shared" si="12"/>
        <v>1978</v>
      </c>
      <c r="M27" t="str">
        <f t="shared" si="12"/>
        <v>9999</v>
      </c>
      <c r="N27">
        <f t="shared" si="13"/>
        <v>192588</v>
      </c>
      <c r="O27">
        <f t="shared" si="13"/>
        <v>232654</v>
      </c>
      <c r="P27">
        <f t="shared" si="13"/>
        <v>316666</v>
      </c>
      <c r="Q27">
        <f t="shared" si="13"/>
        <v>365980</v>
      </c>
      <c r="R27">
        <f t="shared" si="13"/>
        <v>345824</v>
      </c>
      <c r="S27">
        <f t="shared" si="13"/>
        <v>430954</v>
      </c>
      <c r="T27">
        <f t="shared" si="13"/>
        <v>589441</v>
      </c>
      <c r="U27">
        <f t="shared" si="13"/>
        <v>617860</v>
      </c>
      <c r="V27">
        <f t="shared" si="13"/>
        <v>483104</v>
      </c>
      <c r="W27">
        <f t="shared" si="13"/>
        <v>448977</v>
      </c>
      <c r="X27">
        <f t="shared" si="14"/>
        <v>462771</v>
      </c>
      <c r="Y27">
        <f t="shared" si="14"/>
        <v>569709</v>
      </c>
      <c r="Z27">
        <f t="shared" si="14"/>
        <v>634894</v>
      </c>
      <c r="AA27">
        <f t="shared" si="14"/>
        <v>834338</v>
      </c>
      <c r="AB27">
        <f t="shared" si="14"/>
        <v>869106</v>
      </c>
      <c r="AC27">
        <f t="shared" si="14"/>
        <v>786760</v>
      </c>
      <c r="AD27">
        <f t="shared" si="14"/>
        <v>932413</v>
      </c>
      <c r="AE27">
        <f t="shared" si="14"/>
        <v>914457.152</v>
      </c>
      <c r="AF27">
        <f t="shared" si="14"/>
        <v>1391797.8729999999</v>
      </c>
      <c r="AG27">
        <f t="shared" si="14"/>
        <v>1774107.98</v>
      </c>
      <c r="AH27">
        <f t="shared" si="15"/>
        <v>2007890.5430000001</v>
      </c>
      <c r="AI27">
        <f t="shared" si="15"/>
        <v>2176091.5869999998</v>
      </c>
      <c r="AJ27">
        <f t="shared" si="15"/>
        <v>2604743.2940000002</v>
      </c>
      <c r="AK27">
        <f t="shared" si="15"/>
        <v>2687964.3679999998</v>
      </c>
      <c r="AL27">
        <f t="shared" si="15"/>
        <v>2556473.852</v>
      </c>
      <c r="AM27">
        <f t="shared" si="15"/>
        <v>2626273.5580000002</v>
      </c>
      <c r="AN27">
        <f t="shared" si="15"/>
        <v>2602850.5809999998</v>
      </c>
      <c r="AO27">
        <f t="shared" si="15"/>
        <v>2463945.6719999998</v>
      </c>
      <c r="AP27">
        <f t="shared" si="15"/>
        <v>2587358.6239999998</v>
      </c>
      <c r="AQ27">
        <f t="shared" si="15"/>
        <v>2812298.1940000001</v>
      </c>
      <c r="AR27">
        <f t="shared" si="16"/>
        <v>3228091.852</v>
      </c>
      <c r="AS27">
        <f t="shared" si="16"/>
        <v>2336609.074</v>
      </c>
      <c r="AT27">
        <f t="shared" si="16"/>
        <v>3131863.7489999998</v>
      </c>
      <c r="AU27">
        <f t="shared" si="16"/>
        <v>3653718.8560000001</v>
      </c>
      <c r="AV27">
        <f t="shared" si="16"/>
        <v>3760685.7039999999</v>
      </c>
      <c r="AW27">
        <f t="shared" si="16"/>
        <v>3728847.264</v>
      </c>
      <c r="AX27">
        <f t="shared" si="16"/>
        <v>3824496.7289999998</v>
      </c>
      <c r="AY27">
        <f t="shared" si="16"/>
        <v>3457234.5809999998</v>
      </c>
      <c r="AZ27">
        <f t="shared" si="16"/>
        <v>3520594.395</v>
      </c>
      <c r="BA27">
        <f t="shared" si="16"/>
        <v>3958488.3190000001</v>
      </c>
      <c r="BB27">
        <f t="shared" si="16"/>
        <v>4191844.5580000002</v>
      </c>
      <c r="BC27">
        <f t="shared" si="16"/>
        <v>4296486.7259999998</v>
      </c>
      <c r="BD27">
        <f t="shared" si="16"/>
        <v>3872241.63</v>
      </c>
      <c r="BE27">
        <f t="shared" si="16"/>
        <v>4683836.4239999996</v>
      </c>
      <c r="BF27">
        <f t="shared" si="16"/>
        <v>5348323.5970000001</v>
      </c>
      <c r="BG27">
        <f t="shared" si="16"/>
        <v>5019084.5880000005</v>
      </c>
    </row>
    <row r="28" spans="1:59" x14ac:dyDescent="0.25">
      <c r="A28">
        <f t="shared" si="0"/>
        <v>1199.998</v>
      </c>
      <c r="B28" t="str">
        <f>Export!A27</f>
        <v>044</v>
      </c>
      <c r="C28" t="str">
        <f>Export!B27</f>
        <v>Gibraltar</v>
      </c>
      <c r="E28">
        <f t="shared" si="1"/>
        <v>1823.4770000000001</v>
      </c>
      <c r="F28" t="str">
        <f>Import!A27</f>
        <v>044</v>
      </c>
      <c r="G28" t="str">
        <f>Import!B27</f>
        <v>Gibraltar</v>
      </c>
    </row>
    <row r="29" spans="1:59" x14ac:dyDescent="0.25">
      <c r="A29">
        <f t="shared" si="0"/>
        <v>235.982</v>
      </c>
      <c r="B29" t="str">
        <f>Export!A28</f>
        <v>045</v>
      </c>
      <c r="C29" t="str">
        <f>Export!B28</f>
        <v>Vatikanstadt</v>
      </c>
      <c r="E29">
        <f t="shared" si="1"/>
        <v>148.60900000000001</v>
      </c>
      <c r="F29" t="str">
        <f>Import!A28</f>
        <v>045</v>
      </c>
      <c r="G29" t="str">
        <f>Import!B28</f>
        <v>Vatikanstadt</v>
      </c>
      <c r="I29">
        <f>IF(ISNUMBER(FIND("EU",Außenhandelspartner)),0,IF(Außenhandelspartner="Welt",0,_xlfn.RANK.EQ($K$29,Import_Ranking)))</f>
        <v>1</v>
      </c>
      <c r="J29" t="str">
        <f>Außenhandelspartner</f>
        <v>Deutschland</v>
      </c>
      <c r="K29">
        <f>VLOOKUP(Außenhandelspartner,Import_Matrix,$A$1,FALSE)/Einheit_Wert</f>
        <v>63848099.957000002</v>
      </c>
      <c r="L29" t="str">
        <f t="shared" ref="L29:M29" si="18">VLOOKUP($J29,Import_Matrix,L$1,FALSE)</f>
        <v>1978</v>
      </c>
      <c r="M29" t="str">
        <f t="shared" si="18"/>
        <v>9999</v>
      </c>
      <c r="N29">
        <f t="shared" ref="N29:BG29" si="19">VLOOKUP($J29,Import_Matrix,N$1,FALSE)/Einheit_Wert</f>
        <v>7302232</v>
      </c>
      <c r="O29">
        <f t="shared" si="19"/>
        <v>8301883</v>
      </c>
      <c r="P29">
        <f t="shared" si="19"/>
        <v>9367407</v>
      </c>
      <c r="Q29">
        <f t="shared" si="19"/>
        <v>9447237</v>
      </c>
      <c r="R29">
        <f t="shared" si="19"/>
        <v>9806677</v>
      </c>
      <c r="S29">
        <f t="shared" si="19"/>
        <v>10508051</v>
      </c>
      <c r="T29">
        <f t="shared" si="19"/>
        <v>11375844</v>
      </c>
      <c r="U29">
        <f t="shared" si="19"/>
        <v>12818358</v>
      </c>
      <c r="V29">
        <f t="shared" si="19"/>
        <v>13042004</v>
      </c>
      <c r="W29">
        <f t="shared" si="19"/>
        <v>13222888</v>
      </c>
      <c r="X29">
        <f t="shared" si="19"/>
        <v>14603078</v>
      </c>
      <c r="Y29">
        <f t="shared" si="19"/>
        <v>16316473</v>
      </c>
      <c r="Z29">
        <f t="shared" si="19"/>
        <v>17664424</v>
      </c>
      <c r="AA29">
        <f t="shared" si="19"/>
        <v>18505701</v>
      </c>
      <c r="AB29">
        <f t="shared" si="19"/>
        <v>18505011</v>
      </c>
      <c r="AC29">
        <f t="shared" si="19"/>
        <v>17019443</v>
      </c>
      <c r="AD29">
        <f t="shared" si="19"/>
        <v>18295530</v>
      </c>
      <c r="AE29">
        <f t="shared" si="19"/>
        <v>21162496.851</v>
      </c>
      <c r="AF29">
        <f t="shared" si="19"/>
        <v>22205880.182999998</v>
      </c>
      <c r="AG29">
        <f t="shared" si="19"/>
        <v>23932815.851</v>
      </c>
      <c r="AH29">
        <f t="shared" si="19"/>
        <v>25572237.006000001</v>
      </c>
      <c r="AI29">
        <f t="shared" si="19"/>
        <v>27379802.945</v>
      </c>
      <c r="AJ29">
        <f t="shared" si="19"/>
        <v>30533996.706</v>
      </c>
      <c r="AK29">
        <f t="shared" si="19"/>
        <v>31901114.750999998</v>
      </c>
      <c r="AL29">
        <f t="shared" si="19"/>
        <v>31085527.177000001</v>
      </c>
      <c r="AM29">
        <f t="shared" si="19"/>
        <v>33189967.059999999</v>
      </c>
      <c r="AN29">
        <f t="shared" si="19"/>
        <v>39130293.618000001</v>
      </c>
      <c r="AO29">
        <f t="shared" si="19"/>
        <v>40732762.078000002</v>
      </c>
      <c r="AP29">
        <f t="shared" si="19"/>
        <v>43263947.011</v>
      </c>
      <c r="AQ29">
        <f t="shared" si="19"/>
        <v>47498026.629000001</v>
      </c>
      <c r="AR29">
        <f t="shared" si="19"/>
        <v>48490087.452</v>
      </c>
      <c r="AS29">
        <f t="shared" si="19"/>
        <v>39827237.608999997</v>
      </c>
      <c r="AT29">
        <f t="shared" si="19"/>
        <v>44851304.177000001</v>
      </c>
      <c r="AU29">
        <f t="shared" si="19"/>
        <v>50050447.825999998</v>
      </c>
      <c r="AV29">
        <f t="shared" si="19"/>
        <v>49587145.479999997</v>
      </c>
      <c r="AW29">
        <f t="shared" si="19"/>
        <v>49020287.583999999</v>
      </c>
      <c r="AX29">
        <f t="shared" si="19"/>
        <v>48543290.417000003</v>
      </c>
      <c r="AY29">
        <f t="shared" si="19"/>
        <v>49243680.358000003</v>
      </c>
      <c r="AZ29">
        <f t="shared" si="19"/>
        <v>50413887.116999999</v>
      </c>
      <c r="BA29">
        <f t="shared" si="19"/>
        <v>54399256.851000004</v>
      </c>
      <c r="BB29">
        <f t="shared" si="19"/>
        <v>55850258.066</v>
      </c>
      <c r="BC29">
        <f t="shared" si="19"/>
        <v>55225810.637999997</v>
      </c>
      <c r="BD29">
        <f t="shared" si="19"/>
        <v>50514657.633000001</v>
      </c>
      <c r="BE29">
        <f t="shared" si="19"/>
        <v>59150269.814999998</v>
      </c>
      <c r="BF29">
        <f t="shared" si="19"/>
        <v>69021883.199000001</v>
      </c>
      <c r="BG29">
        <f t="shared" si="19"/>
        <v>63848099.957000002</v>
      </c>
    </row>
    <row r="30" spans="1:59" x14ac:dyDescent="0.25">
      <c r="A30">
        <f t="shared" si="0"/>
        <v>51874.845000000001</v>
      </c>
      <c r="B30" t="str">
        <f>Export!A29</f>
        <v>046</v>
      </c>
      <c r="C30" t="str">
        <f>Export!B29</f>
        <v>Malta</v>
      </c>
      <c r="E30">
        <f t="shared" si="1"/>
        <v>31801.344000000001</v>
      </c>
      <c r="F30" t="str">
        <f>Import!A29</f>
        <v>046</v>
      </c>
      <c r="G30" t="str">
        <f>Import!B29</f>
        <v>Malta</v>
      </c>
    </row>
    <row r="31" spans="1:59" x14ac:dyDescent="0.25">
      <c r="A31">
        <f t="shared" si="0"/>
        <v>9251.3430000000008</v>
      </c>
      <c r="B31" t="str">
        <f>Export!A30</f>
        <v>047</v>
      </c>
      <c r="C31" t="str">
        <f>Export!B30</f>
        <v>San Marino</v>
      </c>
      <c r="E31">
        <f t="shared" si="1"/>
        <v>20614.437999999998</v>
      </c>
      <c r="F31" t="str">
        <f>Import!A30</f>
        <v>047</v>
      </c>
      <c r="G31" t="str">
        <f>Import!B30</f>
        <v>San Marino</v>
      </c>
    </row>
    <row r="32" spans="1:59" x14ac:dyDescent="0.25">
      <c r="A32">
        <f t="shared" si="0"/>
        <v>2027211.7439999999</v>
      </c>
      <c r="B32" t="str">
        <f>Export!A31</f>
        <v>052</v>
      </c>
      <c r="C32" t="str">
        <f>Export!B31</f>
        <v>Türkei</v>
      </c>
      <c r="E32">
        <f t="shared" si="1"/>
        <v>2803365.2540000002</v>
      </c>
      <c r="F32" t="str">
        <f>Import!A31</f>
        <v>052</v>
      </c>
      <c r="G32" t="str">
        <f>Import!B31</f>
        <v>Türkei</v>
      </c>
    </row>
    <row r="33" spans="1:7" x14ac:dyDescent="0.25">
      <c r="A33">
        <f t="shared" si="0"/>
        <v>217541.12</v>
      </c>
      <c r="B33" t="str">
        <f>Export!A32</f>
        <v>053</v>
      </c>
      <c r="C33" t="str">
        <f>Export!B32</f>
        <v>Estland</v>
      </c>
      <c r="E33">
        <f t="shared" si="1"/>
        <v>65724.650999999998</v>
      </c>
      <c r="F33" t="str">
        <f>Import!A32</f>
        <v>053</v>
      </c>
      <c r="G33" t="str">
        <f>Import!B32</f>
        <v>Estland</v>
      </c>
    </row>
    <row r="34" spans="1:7" x14ac:dyDescent="0.25">
      <c r="A34">
        <f t="shared" si="0"/>
        <v>218912.34700000001</v>
      </c>
      <c r="B34" t="str">
        <f>Export!A33</f>
        <v>054</v>
      </c>
      <c r="C34" t="str">
        <f>Export!B33</f>
        <v>Lettland</v>
      </c>
      <c r="E34">
        <f t="shared" si="1"/>
        <v>77301.622000000003</v>
      </c>
      <c r="F34" t="str">
        <f>Import!A33</f>
        <v>054</v>
      </c>
      <c r="G34" t="str">
        <f>Import!B33</f>
        <v>Lettland</v>
      </c>
    </row>
    <row r="35" spans="1:7" x14ac:dyDescent="0.25">
      <c r="A35">
        <f t="shared" si="0"/>
        <v>423138.18400000001</v>
      </c>
      <c r="B35" t="str">
        <f>Export!A34</f>
        <v>055</v>
      </c>
      <c r="C35" t="str">
        <f>Export!B34</f>
        <v>Litauen</v>
      </c>
      <c r="E35">
        <f t="shared" si="1"/>
        <v>295836.36300000001</v>
      </c>
      <c r="F35" t="str">
        <f>Import!A34</f>
        <v>055</v>
      </c>
      <c r="G35" t="str">
        <f>Import!B34</f>
        <v>Litauen</v>
      </c>
    </row>
    <row r="36" spans="1:7" x14ac:dyDescent="0.25">
      <c r="A36">
        <f t="shared" si="0"/>
        <v>7344730.8219999997</v>
      </c>
      <c r="B36" t="str">
        <f>Export!A35</f>
        <v>060</v>
      </c>
      <c r="C36" t="str">
        <f>Export!B35</f>
        <v>Polen</v>
      </c>
      <c r="E36">
        <f t="shared" si="1"/>
        <v>6646616.0930000003</v>
      </c>
      <c r="F36" t="str">
        <f>Import!A35</f>
        <v>060</v>
      </c>
      <c r="G36" t="str">
        <f>Import!B35</f>
        <v>Polen</v>
      </c>
    </row>
    <row r="37" spans="1:7" x14ac:dyDescent="0.25">
      <c r="A37">
        <f t="shared" si="0"/>
        <v>7155615.4179999996</v>
      </c>
      <c r="B37" t="str">
        <f>Export!A36</f>
        <v>061</v>
      </c>
      <c r="C37" t="str">
        <f>Export!B36</f>
        <v>Tschechische Republik</v>
      </c>
      <c r="E37">
        <f t="shared" si="1"/>
        <v>8327011.9390000002</v>
      </c>
      <c r="F37" t="str">
        <f>Import!A36</f>
        <v>061</v>
      </c>
      <c r="G37" t="str">
        <f>Import!B36</f>
        <v>Tschechische Republik</v>
      </c>
    </row>
    <row r="38" spans="1:7" x14ac:dyDescent="0.25">
      <c r="A38">
        <f t="shared" si="0"/>
        <v>3922277.2659999998</v>
      </c>
      <c r="B38" t="str">
        <f>Export!A37</f>
        <v>063</v>
      </c>
      <c r="C38" t="str">
        <f>Export!B37</f>
        <v>Slowakei</v>
      </c>
      <c r="E38">
        <f t="shared" si="1"/>
        <v>3409528.4840000002</v>
      </c>
      <c r="F38" t="str">
        <f>Import!A37</f>
        <v>063</v>
      </c>
      <c r="G38" t="str">
        <f>Import!B37</f>
        <v>Slowakei</v>
      </c>
    </row>
    <row r="39" spans="1:7" x14ac:dyDescent="0.25">
      <c r="A39">
        <f t="shared" si="0"/>
        <v>7272093.6469999999</v>
      </c>
      <c r="B39" t="str">
        <f>Export!A38</f>
        <v>064</v>
      </c>
      <c r="C39" t="str">
        <f>Export!B38</f>
        <v>Ungarn</v>
      </c>
      <c r="E39">
        <f t="shared" si="1"/>
        <v>5019084.5880000005</v>
      </c>
      <c r="F39" t="str">
        <f>Import!A38</f>
        <v>064</v>
      </c>
      <c r="G39" t="str">
        <f>Import!B38</f>
        <v>Ungarn</v>
      </c>
    </row>
    <row r="40" spans="1:7" x14ac:dyDescent="0.25">
      <c r="A40">
        <f t="shared" si="0"/>
        <v>3919996.1379999998</v>
      </c>
      <c r="B40" t="str">
        <f>Export!A39</f>
        <v>066</v>
      </c>
      <c r="C40" t="str">
        <f>Export!B39</f>
        <v>Rumänien</v>
      </c>
      <c r="E40">
        <f t="shared" si="1"/>
        <v>2238355.2110000001</v>
      </c>
      <c r="F40" t="str">
        <f>Import!A39</f>
        <v>066</v>
      </c>
      <c r="G40" t="str">
        <f>Import!B39</f>
        <v>Rumänien</v>
      </c>
    </row>
    <row r="41" spans="1:7" x14ac:dyDescent="0.25">
      <c r="A41">
        <f t="shared" si="0"/>
        <v>1200126.817</v>
      </c>
      <c r="B41" t="str">
        <f>Export!A40</f>
        <v>068</v>
      </c>
      <c r="C41" t="str">
        <f>Export!B40</f>
        <v>Bulgarien</v>
      </c>
      <c r="E41">
        <f t="shared" si="1"/>
        <v>929698.52599999995</v>
      </c>
      <c r="F41" t="str">
        <f>Import!A40</f>
        <v>068</v>
      </c>
      <c r="G41" t="str">
        <f>Import!B40</f>
        <v>Bulgarien</v>
      </c>
    </row>
    <row r="42" spans="1:7" x14ac:dyDescent="0.25">
      <c r="A42">
        <f t="shared" si="0"/>
        <v>78844.793999999994</v>
      </c>
      <c r="B42" t="str">
        <f>Export!A41</f>
        <v>070</v>
      </c>
      <c r="C42" t="str">
        <f>Export!B41</f>
        <v>Albanien</v>
      </c>
      <c r="E42">
        <f t="shared" si="1"/>
        <v>64938.334000000003</v>
      </c>
      <c r="F42" t="str">
        <f>Import!A41</f>
        <v>070</v>
      </c>
      <c r="G42" t="str">
        <f>Import!B41</f>
        <v>Albanien</v>
      </c>
    </row>
    <row r="43" spans="1:7" x14ac:dyDescent="0.25">
      <c r="A43">
        <f t="shared" si="0"/>
        <v>616266.19700000004</v>
      </c>
      <c r="B43" t="str">
        <f>Export!A42</f>
        <v>072</v>
      </c>
      <c r="C43" t="str">
        <f>Export!B42</f>
        <v>Ukraine</v>
      </c>
      <c r="E43">
        <f t="shared" si="1"/>
        <v>928713.56700000004</v>
      </c>
      <c r="F43" t="str">
        <f>Import!A42</f>
        <v>072</v>
      </c>
      <c r="G43" t="str">
        <f>Import!B42</f>
        <v>Ukraine</v>
      </c>
    </row>
    <row r="44" spans="1:7" x14ac:dyDescent="0.25">
      <c r="A44">
        <f t="shared" si="0"/>
        <v>105302.65300000001</v>
      </c>
      <c r="B44" t="str">
        <f>Export!A43</f>
        <v>073</v>
      </c>
      <c r="C44" t="str">
        <f>Export!B43</f>
        <v>Weißrussland</v>
      </c>
      <c r="E44">
        <f t="shared" si="1"/>
        <v>6372.0360000000001</v>
      </c>
      <c r="F44" t="str">
        <f>Import!A43</f>
        <v>073</v>
      </c>
      <c r="G44" t="str">
        <f>Import!B43</f>
        <v>Weißrussland</v>
      </c>
    </row>
    <row r="45" spans="1:7" x14ac:dyDescent="0.25">
      <c r="A45">
        <f t="shared" si="0"/>
        <v>80667.566000000006</v>
      </c>
      <c r="B45" t="str">
        <f>Export!A44</f>
        <v>074</v>
      </c>
      <c r="C45" t="str">
        <f>Export!B44</f>
        <v>Moldau</v>
      </c>
      <c r="E45">
        <f t="shared" si="1"/>
        <v>58561.777999999998</v>
      </c>
      <c r="F45" t="str">
        <f>Import!A44</f>
        <v>074</v>
      </c>
      <c r="G45" t="str">
        <f>Import!B44</f>
        <v>Moldau</v>
      </c>
    </row>
    <row r="46" spans="1:7" x14ac:dyDescent="0.25">
      <c r="A46">
        <f t="shared" si="0"/>
        <v>1296796.9850000001</v>
      </c>
      <c r="B46" t="str">
        <f>Export!A45</f>
        <v>075</v>
      </c>
      <c r="C46" t="str">
        <f>Export!B45</f>
        <v>Russland</v>
      </c>
      <c r="E46">
        <f t="shared" si="1"/>
        <v>4060504.2069999999</v>
      </c>
      <c r="F46" t="str">
        <f>Import!A45</f>
        <v>075</v>
      </c>
      <c r="G46" t="str">
        <f>Import!B45</f>
        <v>Russland</v>
      </c>
    </row>
    <row r="47" spans="1:7" x14ac:dyDescent="0.25">
      <c r="A47">
        <f t="shared" si="0"/>
        <v>99925.675000000003</v>
      </c>
      <c r="B47" t="str">
        <f>Export!A46</f>
        <v>076</v>
      </c>
      <c r="C47" t="str">
        <f>Export!B46</f>
        <v>Georgien</v>
      </c>
      <c r="E47">
        <f t="shared" si="1"/>
        <v>9614.8739999999998</v>
      </c>
      <c r="F47" t="str">
        <f>Import!A46</f>
        <v>076</v>
      </c>
      <c r="G47" t="str">
        <f>Import!B46</f>
        <v>Georgien</v>
      </c>
    </row>
    <row r="48" spans="1:7" x14ac:dyDescent="0.25">
      <c r="A48">
        <f t="shared" si="0"/>
        <v>55610.027000000002</v>
      </c>
      <c r="B48" t="str">
        <f>Export!A47</f>
        <v>077</v>
      </c>
      <c r="C48" t="str">
        <f>Export!B47</f>
        <v>Armenien</v>
      </c>
      <c r="E48">
        <f t="shared" si="1"/>
        <v>9109.0879999999997</v>
      </c>
      <c r="F48" t="str">
        <f>Import!A47</f>
        <v>077</v>
      </c>
      <c r="G48" t="str">
        <f>Import!B47</f>
        <v>Armenien</v>
      </c>
    </row>
    <row r="49" spans="1:7" x14ac:dyDescent="0.25">
      <c r="A49">
        <f t="shared" si="0"/>
        <v>62376.288</v>
      </c>
      <c r="B49" t="str">
        <f>Export!A48</f>
        <v>078</v>
      </c>
      <c r="C49" t="str">
        <f>Export!B48</f>
        <v>Aserbaidschan</v>
      </c>
      <c r="E49">
        <f t="shared" si="1"/>
        <v>314065.54300000001</v>
      </c>
      <c r="F49" t="str">
        <f>Import!A48</f>
        <v>078</v>
      </c>
      <c r="G49" t="str">
        <f>Import!B48</f>
        <v>Aserbaidschan</v>
      </c>
    </row>
    <row r="50" spans="1:7" x14ac:dyDescent="0.25">
      <c r="A50">
        <f t="shared" si="0"/>
        <v>296828.88</v>
      </c>
      <c r="B50" t="str">
        <f>Export!A49</f>
        <v>079</v>
      </c>
      <c r="C50" t="str">
        <f>Export!B49</f>
        <v>Kasachstan</v>
      </c>
      <c r="E50">
        <f t="shared" si="1"/>
        <v>1749470.831</v>
      </c>
      <c r="F50" t="str">
        <f>Import!A49</f>
        <v>079</v>
      </c>
      <c r="G50" t="str">
        <f>Import!B49</f>
        <v>Kasachstan</v>
      </c>
    </row>
    <row r="51" spans="1:7" x14ac:dyDescent="0.25">
      <c r="A51">
        <f t="shared" si="0"/>
        <v>24268.675999999999</v>
      </c>
      <c r="B51" t="str">
        <f>Export!A50</f>
        <v>080</v>
      </c>
      <c r="C51" t="str">
        <f>Export!B50</f>
        <v>Turkmenistan</v>
      </c>
      <c r="E51">
        <f t="shared" si="1"/>
        <v>1396.538</v>
      </c>
      <c r="F51" t="str">
        <f>Import!A50</f>
        <v>080</v>
      </c>
      <c r="G51" t="str">
        <f>Import!B50</f>
        <v>Turkmenistan</v>
      </c>
    </row>
    <row r="52" spans="1:7" x14ac:dyDescent="0.25">
      <c r="A52">
        <f t="shared" si="0"/>
        <v>131841.799</v>
      </c>
      <c r="B52" t="str">
        <f>Export!A51</f>
        <v>081</v>
      </c>
      <c r="C52" t="str">
        <f>Export!B51</f>
        <v>Usbekistan</v>
      </c>
      <c r="E52">
        <f t="shared" si="1"/>
        <v>12828.812</v>
      </c>
      <c r="F52" t="str">
        <f>Import!A51</f>
        <v>081</v>
      </c>
      <c r="G52" t="str">
        <f>Import!B51</f>
        <v>Usbekistan</v>
      </c>
    </row>
    <row r="53" spans="1:7" x14ac:dyDescent="0.25">
      <c r="A53">
        <f t="shared" si="0"/>
        <v>20910.691999999999</v>
      </c>
      <c r="B53" t="str">
        <f>Export!A52</f>
        <v>082</v>
      </c>
      <c r="C53" t="str">
        <f>Export!B52</f>
        <v>Tadschikistan</v>
      </c>
      <c r="E53">
        <f t="shared" si="1"/>
        <v>53.905000000000001</v>
      </c>
      <c r="F53" t="str">
        <f>Import!A52</f>
        <v>082</v>
      </c>
      <c r="G53" t="str">
        <f>Import!B52</f>
        <v>Tadschikistan</v>
      </c>
    </row>
    <row r="54" spans="1:7" x14ac:dyDescent="0.25">
      <c r="A54">
        <f t="shared" si="0"/>
        <v>28678.34</v>
      </c>
      <c r="B54" t="str">
        <f>Export!A53</f>
        <v>083</v>
      </c>
      <c r="C54" t="str">
        <f>Export!B53</f>
        <v>Kirgisistan</v>
      </c>
      <c r="E54">
        <f t="shared" si="1"/>
        <v>1490.8810000000001</v>
      </c>
      <c r="F54" t="str">
        <f>Import!A53</f>
        <v>083</v>
      </c>
      <c r="G54" t="str">
        <f>Import!B53</f>
        <v>Kirgisistan</v>
      </c>
    </row>
    <row r="55" spans="1:7" x14ac:dyDescent="0.25">
      <c r="A55">
        <f t="shared" si="0"/>
        <v>4202935.74</v>
      </c>
      <c r="B55" t="str">
        <f>Export!A54</f>
        <v>091</v>
      </c>
      <c r="C55" t="str">
        <f>Export!B54</f>
        <v>Slowenien</v>
      </c>
      <c r="E55">
        <f t="shared" si="1"/>
        <v>3052693.3689999999</v>
      </c>
      <c r="F55" t="str">
        <f>Import!A54</f>
        <v>091</v>
      </c>
      <c r="G55" t="str">
        <f>Import!B54</f>
        <v>Slowenien</v>
      </c>
    </row>
    <row r="56" spans="1:7" x14ac:dyDescent="0.25">
      <c r="A56">
        <f t="shared" si="0"/>
        <v>1945622.1170000001</v>
      </c>
      <c r="B56" t="str">
        <f>Export!A55</f>
        <v>092</v>
      </c>
      <c r="C56" t="str">
        <f>Export!B55</f>
        <v>Kroatien</v>
      </c>
      <c r="E56">
        <f t="shared" si="1"/>
        <v>931272.46200000006</v>
      </c>
      <c r="F56" t="str">
        <f>Import!A55</f>
        <v>092</v>
      </c>
      <c r="G56" t="str">
        <f>Import!B55</f>
        <v>Kroatien</v>
      </c>
    </row>
    <row r="57" spans="1:7" x14ac:dyDescent="0.25">
      <c r="A57">
        <f t="shared" si="0"/>
        <v>626846.74199999997</v>
      </c>
      <c r="B57" t="str">
        <f>Export!A56</f>
        <v>093</v>
      </c>
      <c r="C57" t="str">
        <f>Export!B56</f>
        <v>Bosnien-Herzegowina</v>
      </c>
      <c r="E57">
        <f t="shared" si="1"/>
        <v>970633.95600000001</v>
      </c>
      <c r="F57" t="str">
        <f>Import!A56</f>
        <v>093</v>
      </c>
      <c r="G57" t="str">
        <f>Import!B56</f>
        <v>Bosnien-Herzegowina</v>
      </c>
    </row>
    <row r="58" spans="1:7" x14ac:dyDescent="0.25">
      <c r="A58">
        <f t="shared" si="0"/>
        <v>0</v>
      </c>
      <c r="B58" t="str">
        <f>Export!A57</f>
        <v>094</v>
      </c>
      <c r="C58" t="str">
        <f>Export!B57</f>
        <v>Serbien und Montenegro</v>
      </c>
      <c r="E58">
        <f t="shared" si="1"/>
        <v>0</v>
      </c>
      <c r="F58" t="str">
        <f>Import!A57</f>
        <v>094</v>
      </c>
      <c r="G58" t="str">
        <f>Import!B57</f>
        <v>Serbien und Montenegro</v>
      </c>
    </row>
    <row r="59" spans="1:7" x14ac:dyDescent="0.25">
      <c r="A59">
        <f t="shared" si="0"/>
        <v>102156.909</v>
      </c>
      <c r="B59" t="str">
        <f>Export!A58</f>
        <v>095</v>
      </c>
      <c r="C59" t="str">
        <f>Export!B58</f>
        <v>Kosovo</v>
      </c>
      <c r="E59">
        <f t="shared" si="1"/>
        <v>22200.361000000001</v>
      </c>
      <c r="F59" t="str">
        <f>Import!A58</f>
        <v>095</v>
      </c>
      <c r="G59" t="str">
        <f>Import!B58</f>
        <v>Kosovo</v>
      </c>
    </row>
    <row r="60" spans="1:7" x14ac:dyDescent="0.25">
      <c r="A60">
        <f t="shared" si="0"/>
        <v>181194.611</v>
      </c>
      <c r="B60" t="str">
        <f>Export!A59</f>
        <v>096</v>
      </c>
      <c r="C60" t="str">
        <f>Export!B59</f>
        <v>Eh.jugosl.Rep.Mazedonien</v>
      </c>
      <c r="E60">
        <f t="shared" si="1"/>
        <v>159313.61499999999</v>
      </c>
      <c r="F60" t="str">
        <f>Import!A59</f>
        <v>096</v>
      </c>
      <c r="G60" t="str">
        <f>Import!B59</f>
        <v>Eh.jugosl.Rep.Mazedonien</v>
      </c>
    </row>
    <row r="61" spans="1:7" x14ac:dyDescent="0.25">
      <c r="A61">
        <f t="shared" si="0"/>
        <v>57555.118999999999</v>
      </c>
      <c r="B61" t="str">
        <f>Export!A60</f>
        <v>097</v>
      </c>
      <c r="C61" t="str">
        <f>Export!B60</f>
        <v>Montenegro</v>
      </c>
      <c r="E61">
        <f t="shared" si="1"/>
        <v>2532.7939999999999</v>
      </c>
      <c r="F61" t="str">
        <f>Import!A60</f>
        <v>097</v>
      </c>
      <c r="G61" t="str">
        <f>Import!B60</f>
        <v>Montenegro</v>
      </c>
    </row>
    <row r="62" spans="1:7" x14ac:dyDescent="0.25">
      <c r="A62">
        <f t="shared" si="0"/>
        <v>1084323.544</v>
      </c>
      <c r="B62" t="str">
        <f>Export!A61</f>
        <v>098</v>
      </c>
      <c r="C62" t="str">
        <f>Export!B61</f>
        <v>Serbien</v>
      </c>
      <c r="E62">
        <f t="shared" si="1"/>
        <v>796920.451</v>
      </c>
      <c r="F62" t="str">
        <f>Import!A61</f>
        <v>098</v>
      </c>
      <c r="G62" t="str">
        <f>Import!B61</f>
        <v>Serbien</v>
      </c>
    </row>
    <row r="63" spans="1:7" x14ac:dyDescent="0.25">
      <c r="A63">
        <f t="shared" si="0"/>
        <v>204993.318</v>
      </c>
      <c r="B63" t="str">
        <f>Export!A62</f>
        <v>204</v>
      </c>
      <c r="C63" t="str">
        <f>Export!B62</f>
        <v>Marokko</v>
      </c>
      <c r="E63">
        <f t="shared" si="1"/>
        <v>324640.935</v>
      </c>
      <c r="F63" t="str">
        <f>Import!A62</f>
        <v>204</v>
      </c>
      <c r="G63" t="str">
        <f>Import!B62</f>
        <v>Marokko</v>
      </c>
    </row>
    <row r="64" spans="1:7" x14ac:dyDescent="0.25">
      <c r="A64">
        <f t="shared" si="0"/>
        <v>179724.76199999999</v>
      </c>
      <c r="B64" t="str">
        <f>Export!A63</f>
        <v>208</v>
      </c>
      <c r="C64" t="str">
        <f>Export!B63</f>
        <v>Algerien</v>
      </c>
      <c r="E64">
        <f t="shared" si="1"/>
        <v>176625.71</v>
      </c>
      <c r="F64" t="str">
        <f>Import!A63</f>
        <v>208</v>
      </c>
      <c r="G64" t="str">
        <f>Import!B63</f>
        <v>Algerien</v>
      </c>
    </row>
    <row r="65" spans="1:7" x14ac:dyDescent="0.25">
      <c r="A65">
        <f t="shared" si="0"/>
        <v>83789.418999999994</v>
      </c>
      <c r="B65" t="str">
        <f>Export!A64</f>
        <v>212</v>
      </c>
      <c r="C65" t="str">
        <f>Export!B64</f>
        <v>Tunesien</v>
      </c>
      <c r="E65">
        <f t="shared" si="1"/>
        <v>200137.52499999999</v>
      </c>
      <c r="F65" t="str">
        <f>Import!A64</f>
        <v>212</v>
      </c>
      <c r="G65" t="str">
        <f>Import!B64</f>
        <v>Tunesien</v>
      </c>
    </row>
    <row r="66" spans="1:7" x14ac:dyDescent="0.25">
      <c r="A66">
        <f t="shared" si="0"/>
        <v>61609.313999999998</v>
      </c>
      <c r="B66" t="str">
        <f>Export!A65</f>
        <v>216</v>
      </c>
      <c r="C66" t="str">
        <f>Export!B65</f>
        <v>Libyen</v>
      </c>
      <c r="E66">
        <f t="shared" si="1"/>
        <v>1073388.351</v>
      </c>
      <c r="F66" t="str">
        <f>Import!A65</f>
        <v>216</v>
      </c>
      <c r="G66" t="str">
        <f>Import!B65</f>
        <v>Libyen</v>
      </c>
    </row>
    <row r="67" spans="1:7" x14ac:dyDescent="0.25">
      <c r="A67">
        <f t="shared" ref="A67:A130" si="20">VLOOKUP(C67,Export_Matrix,$A$1,FALSE)/Einheit_Wert</f>
        <v>292615.41499999998</v>
      </c>
      <c r="B67" t="str">
        <f>Export!A66</f>
        <v>220</v>
      </c>
      <c r="C67" t="str">
        <f>Export!B66</f>
        <v>Ägypten</v>
      </c>
      <c r="E67">
        <f t="shared" ref="E67:E130" si="21">VLOOKUP(G67,Import_Matrix,$A$1,FALSE)/Einheit_Wert</f>
        <v>99069.066000000006</v>
      </c>
      <c r="F67" t="str">
        <f>Import!A66</f>
        <v>220</v>
      </c>
      <c r="G67" t="str">
        <f>Import!B66</f>
        <v>Ägypten</v>
      </c>
    </row>
    <row r="68" spans="1:7" x14ac:dyDescent="0.25">
      <c r="A68">
        <f t="shared" si="20"/>
        <v>5296.81</v>
      </c>
      <c r="B68" t="str">
        <f>Export!A67</f>
        <v>224</v>
      </c>
      <c r="C68" t="str">
        <f>Export!B67</f>
        <v>Sudan</v>
      </c>
      <c r="E68">
        <f t="shared" si="21"/>
        <v>110.503</v>
      </c>
      <c r="F68" t="str">
        <f>Import!A67</f>
        <v>224</v>
      </c>
      <c r="G68" t="str">
        <f>Import!B67</f>
        <v>Sudan</v>
      </c>
    </row>
    <row r="69" spans="1:7" x14ac:dyDescent="0.25">
      <c r="A69">
        <f t="shared" si="20"/>
        <v>3827.973</v>
      </c>
      <c r="B69" t="str">
        <f>Export!A68</f>
        <v>225</v>
      </c>
      <c r="C69" t="str">
        <f>Export!B68</f>
        <v>Südsudan</v>
      </c>
      <c r="E69">
        <f t="shared" si="21"/>
        <v>8.1219999999999999</v>
      </c>
      <c r="F69" t="str">
        <f>Import!A68</f>
        <v>225</v>
      </c>
      <c r="G69" t="str">
        <f>Import!B68</f>
        <v>Südsudan</v>
      </c>
    </row>
    <row r="70" spans="1:7" x14ac:dyDescent="0.25">
      <c r="A70">
        <f t="shared" si="20"/>
        <v>16030.245999999999</v>
      </c>
      <c r="B70" t="str">
        <f>Export!A69</f>
        <v>228</v>
      </c>
      <c r="C70" t="str">
        <f>Export!B69</f>
        <v>Mauretanien</v>
      </c>
      <c r="E70">
        <f t="shared" si="21"/>
        <v>4475.3119999999999</v>
      </c>
      <c r="F70" t="str">
        <f>Import!A69</f>
        <v>228</v>
      </c>
      <c r="G70" t="str">
        <f>Import!B69</f>
        <v>Mauretanien</v>
      </c>
    </row>
    <row r="71" spans="1:7" x14ac:dyDescent="0.25">
      <c r="A71">
        <f t="shared" si="20"/>
        <v>0</v>
      </c>
      <c r="B71" t="str">
        <f>Export!A70</f>
        <v>229</v>
      </c>
      <c r="C71" t="str">
        <f>Export!B70</f>
        <v>Westsahara</v>
      </c>
      <c r="E71">
        <f t="shared" si="21"/>
        <v>0.21199999999999999</v>
      </c>
      <c r="F71" t="str">
        <f>Import!A70</f>
        <v>229</v>
      </c>
      <c r="G71" t="str">
        <f>Import!B70</f>
        <v>Westsahara</v>
      </c>
    </row>
    <row r="72" spans="1:7" x14ac:dyDescent="0.25">
      <c r="A72">
        <f t="shared" si="20"/>
        <v>167979.59700000001</v>
      </c>
      <c r="B72" t="str">
        <f>Export!A71</f>
        <v>232</v>
      </c>
      <c r="C72" t="str">
        <f>Export!B71</f>
        <v>Mali</v>
      </c>
      <c r="E72">
        <f t="shared" si="21"/>
        <v>454.11399999999998</v>
      </c>
      <c r="F72" t="str">
        <f>Import!A71</f>
        <v>232</v>
      </c>
      <c r="G72" t="str">
        <f>Import!B71</f>
        <v>Mali</v>
      </c>
    </row>
    <row r="73" spans="1:7" x14ac:dyDescent="0.25">
      <c r="A73">
        <f t="shared" si="20"/>
        <v>15539.778</v>
      </c>
      <c r="B73" t="str">
        <f>Export!A72</f>
        <v>236</v>
      </c>
      <c r="C73" t="str">
        <f>Export!B72</f>
        <v>Burkina Faso</v>
      </c>
      <c r="E73">
        <f t="shared" si="21"/>
        <v>3491.0920000000001</v>
      </c>
      <c r="F73" t="str">
        <f>Import!A72</f>
        <v>236</v>
      </c>
      <c r="G73" t="str">
        <f>Import!B72</f>
        <v>Burkina Faso</v>
      </c>
    </row>
    <row r="74" spans="1:7" x14ac:dyDescent="0.25">
      <c r="A74">
        <f t="shared" si="20"/>
        <v>5293.741</v>
      </c>
      <c r="B74" t="str">
        <f>Export!A73</f>
        <v>240</v>
      </c>
      <c r="C74" t="str">
        <f>Export!B73</f>
        <v>Niger</v>
      </c>
      <c r="E74">
        <f t="shared" si="21"/>
        <v>1580.4449999999999</v>
      </c>
      <c r="F74" t="str">
        <f>Import!A73</f>
        <v>240</v>
      </c>
      <c r="G74" t="str">
        <f>Import!B73</f>
        <v>Niger</v>
      </c>
    </row>
    <row r="75" spans="1:7" x14ac:dyDescent="0.25">
      <c r="A75">
        <f t="shared" si="20"/>
        <v>3070.7170000000001</v>
      </c>
      <c r="B75" t="str">
        <f>Export!A74</f>
        <v>244</v>
      </c>
      <c r="C75" t="str">
        <f>Export!B74</f>
        <v>Tschad</v>
      </c>
      <c r="E75">
        <f t="shared" si="21"/>
        <v>645.04700000000003</v>
      </c>
      <c r="F75" t="str">
        <f>Import!A74</f>
        <v>244</v>
      </c>
      <c r="G75" t="str">
        <f>Import!B74</f>
        <v>Tschad</v>
      </c>
    </row>
    <row r="76" spans="1:7" x14ac:dyDescent="0.25">
      <c r="A76">
        <f t="shared" si="20"/>
        <v>852.40599999999995</v>
      </c>
      <c r="B76" t="str">
        <f>Export!A75</f>
        <v>247</v>
      </c>
      <c r="C76" t="str">
        <f>Export!B75</f>
        <v>Kap Verde</v>
      </c>
      <c r="E76">
        <f t="shared" si="21"/>
        <v>55.484999999999999</v>
      </c>
      <c r="F76" t="str">
        <f>Import!A75</f>
        <v>247</v>
      </c>
      <c r="G76" t="str">
        <f>Import!B75</f>
        <v>Kap Verde</v>
      </c>
    </row>
    <row r="77" spans="1:7" x14ac:dyDescent="0.25">
      <c r="A77">
        <f t="shared" si="20"/>
        <v>59716.288</v>
      </c>
      <c r="B77" t="str">
        <f>Export!A76</f>
        <v>248</v>
      </c>
      <c r="C77" t="str">
        <f>Export!B76</f>
        <v>Senegal</v>
      </c>
      <c r="E77">
        <f t="shared" si="21"/>
        <v>891.33299999999997</v>
      </c>
      <c r="F77" t="str">
        <f>Import!A76</f>
        <v>248</v>
      </c>
      <c r="G77" t="str">
        <f>Import!B76</f>
        <v>Senegal</v>
      </c>
    </row>
    <row r="78" spans="1:7" x14ac:dyDescent="0.25">
      <c r="A78">
        <f t="shared" si="20"/>
        <v>7497.96</v>
      </c>
      <c r="B78" t="str">
        <f>Export!A77</f>
        <v>252</v>
      </c>
      <c r="C78" t="str">
        <f>Export!B77</f>
        <v>Gambia</v>
      </c>
      <c r="E78">
        <f t="shared" si="21"/>
        <v>12.824</v>
      </c>
      <c r="F78" t="str">
        <f>Import!A77</f>
        <v>252</v>
      </c>
      <c r="G78" t="str">
        <f>Import!B77</f>
        <v>Gambia</v>
      </c>
    </row>
    <row r="79" spans="1:7" x14ac:dyDescent="0.25">
      <c r="A79">
        <f t="shared" si="20"/>
        <v>293.00700000000001</v>
      </c>
      <c r="B79" t="str">
        <f>Export!A78</f>
        <v>257</v>
      </c>
      <c r="C79" t="str">
        <f>Export!B78</f>
        <v>Guinea-Bissau</v>
      </c>
      <c r="E79">
        <f t="shared" si="21"/>
        <v>213.39400000000001</v>
      </c>
      <c r="F79" t="str">
        <f>Import!A78</f>
        <v>257</v>
      </c>
      <c r="G79" t="str">
        <f>Import!B78</f>
        <v>Guinea-Bissau</v>
      </c>
    </row>
    <row r="80" spans="1:7" x14ac:dyDescent="0.25">
      <c r="A80">
        <f t="shared" si="20"/>
        <v>2002.865</v>
      </c>
      <c r="B80" t="str">
        <f>Export!A79</f>
        <v>260</v>
      </c>
      <c r="C80" t="str">
        <f>Export!B79</f>
        <v>Guinea</v>
      </c>
      <c r="E80">
        <f t="shared" si="21"/>
        <v>5158.5770000000002</v>
      </c>
      <c r="F80" t="str">
        <f>Import!A79</f>
        <v>260</v>
      </c>
      <c r="G80" t="str">
        <f>Import!B79</f>
        <v>Guinea</v>
      </c>
    </row>
    <row r="81" spans="1:7" x14ac:dyDescent="0.25">
      <c r="A81">
        <f t="shared" si="20"/>
        <v>1043.923</v>
      </c>
      <c r="B81" t="str">
        <f>Export!A80</f>
        <v>264</v>
      </c>
      <c r="C81" t="str">
        <f>Export!B80</f>
        <v>Sierra Leone</v>
      </c>
      <c r="E81">
        <f t="shared" si="21"/>
        <v>4618.473</v>
      </c>
      <c r="F81" t="str">
        <f>Import!A80</f>
        <v>264</v>
      </c>
      <c r="G81" t="str">
        <f>Import!B80</f>
        <v>Sierra Leone</v>
      </c>
    </row>
    <row r="82" spans="1:7" x14ac:dyDescent="0.25">
      <c r="A82">
        <f t="shared" si="20"/>
        <v>2726.8150000000001</v>
      </c>
      <c r="B82" t="str">
        <f>Export!A81</f>
        <v>268</v>
      </c>
      <c r="C82" t="str">
        <f>Export!B81</f>
        <v>Liberia</v>
      </c>
      <c r="E82">
        <f t="shared" si="21"/>
        <v>366.99200000000002</v>
      </c>
      <c r="F82" t="str">
        <f>Import!A81</f>
        <v>268</v>
      </c>
      <c r="G82" t="str">
        <f>Import!B81</f>
        <v>Liberia</v>
      </c>
    </row>
    <row r="83" spans="1:7" x14ac:dyDescent="0.25">
      <c r="A83">
        <f t="shared" si="20"/>
        <v>39801.171000000002</v>
      </c>
      <c r="B83" t="str">
        <f>Export!A82</f>
        <v>272</v>
      </c>
      <c r="C83" t="str">
        <f>Export!B82</f>
        <v>Elfenbeinküste</v>
      </c>
      <c r="E83">
        <f t="shared" si="21"/>
        <v>31404.334999999999</v>
      </c>
      <c r="F83" t="str">
        <f>Import!A82</f>
        <v>272</v>
      </c>
      <c r="G83" t="str">
        <f>Import!B82</f>
        <v>Elfenbeinküste</v>
      </c>
    </row>
    <row r="84" spans="1:7" x14ac:dyDescent="0.25">
      <c r="A84">
        <f t="shared" si="20"/>
        <v>19096.879000000001</v>
      </c>
      <c r="B84" t="str">
        <f>Export!A83</f>
        <v>276</v>
      </c>
      <c r="C84" t="str">
        <f>Export!B83</f>
        <v>Ghana</v>
      </c>
      <c r="E84">
        <f t="shared" si="21"/>
        <v>19754.901999999998</v>
      </c>
      <c r="F84" t="str">
        <f>Import!A83</f>
        <v>276</v>
      </c>
      <c r="G84" t="str">
        <f>Import!B83</f>
        <v>Ghana</v>
      </c>
    </row>
    <row r="85" spans="1:7" x14ac:dyDescent="0.25">
      <c r="A85">
        <f t="shared" si="20"/>
        <v>4533.4390000000003</v>
      </c>
      <c r="B85" t="str">
        <f>Export!A84</f>
        <v>280</v>
      </c>
      <c r="C85" t="str">
        <f>Export!B84</f>
        <v>Togo</v>
      </c>
      <c r="E85">
        <f t="shared" si="21"/>
        <v>1638.6220000000001</v>
      </c>
      <c r="F85" t="str">
        <f>Import!A84</f>
        <v>280</v>
      </c>
      <c r="G85" t="str">
        <f>Import!B84</f>
        <v>Togo</v>
      </c>
    </row>
    <row r="86" spans="1:7" x14ac:dyDescent="0.25">
      <c r="A86">
        <f t="shared" si="20"/>
        <v>6323.9660000000003</v>
      </c>
      <c r="B86" t="str">
        <f>Export!A85</f>
        <v>284</v>
      </c>
      <c r="C86" t="str">
        <f>Export!B85</f>
        <v>Benin</v>
      </c>
      <c r="E86">
        <f t="shared" si="21"/>
        <v>47.62</v>
      </c>
      <c r="F86" t="str">
        <f>Import!A85</f>
        <v>284</v>
      </c>
      <c r="G86" t="str">
        <f>Import!B85</f>
        <v>Benin</v>
      </c>
    </row>
    <row r="87" spans="1:7" x14ac:dyDescent="0.25">
      <c r="A87">
        <f t="shared" si="20"/>
        <v>120072.774</v>
      </c>
      <c r="B87" t="str">
        <f>Export!A86</f>
        <v>288</v>
      </c>
      <c r="C87" t="str">
        <f>Export!B86</f>
        <v>Nigeria</v>
      </c>
      <c r="E87">
        <f t="shared" si="21"/>
        <v>6907.1210000000001</v>
      </c>
      <c r="F87" t="str">
        <f>Import!A86</f>
        <v>288</v>
      </c>
      <c r="G87" t="str">
        <f>Import!B86</f>
        <v>Nigeria</v>
      </c>
    </row>
    <row r="88" spans="1:7" x14ac:dyDescent="0.25">
      <c r="A88">
        <f t="shared" si="20"/>
        <v>9158.3150000000005</v>
      </c>
      <c r="B88" t="str">
        <f>Export!A87</f>
        <v>302</v>
      </c>
      <c r="C88" t="str">
        <f>Export!B87</f>
        <v>Kamerun</v>
      </c>
      <c r="E88">
        <f t="shared" si="21"/>
        <v>4637.6559999999999</v>
      </c>
      <c r="F88" t="str">
        <f>Import!A87</f>
        <v>302</v>
      </c>
      <c r="G88" t="str">
        <f>Import!B87</f>
        <v>Kamerun</v>
      </c>
    </row>
    <row r="89" spans="1:7" x14ac:dyDescent="0.25">
      <c r="A89">
        <f t="shared" si="20"/>
        <v>506.702</v>
      </c>
      <c r="B89" t="str">
        <f>Export!A88</f>
        <v>306</v>
      </c>
      <c r="C89" t="str">
        <f>Export!B88</f>
        <v>Zentralafrikan.Republik</v>
      </c>
      <c r="E89">
        <f t="shared" si="21"/>
        <v>59.533000000000001</v>
      </c>
      <c r="F89" t="str">
        <f>Import!A88</f>
        <v>306</v>
      </c>
      <c r="G89" t="str">
        <f>Import!B88</f>
        <v>Zentralafrikan.Republik</v>
      </c>
    </row>
    <row r="90" spans="1:7" x14ac:dyDescent="0.25">
      <c r="A90">
        <f t="shared" si="20"/>
        <v>349.52300000000002</v>
      </c>
      <c r="B90" t="str">
        <f>Export!A89</f>
        <v>310</v>
      </c>
      <c r="C90" t="str">
        <f>Export!B89</f>
        <v>Äquatorialguinea</v>
      </c>
      <c r="E90">
        <f t="shared" si="21"/>
        <v>11.228</v>
      </c>
      <c r="F90" t="str">
        <f>Import!A89</f>
        <v>310</v>
      </c>
      <c r="G90" t="str">
        <f>Import!B89</f>
        <v>Äquatorialguinea</v>
      </c>
    </row>
    <row r="91" spans="1:7" x14ac:dyDescent="0.25">
      <c r="A91">
        <f t="shared" si="20"/>
        <v>5.601</v>
      </c>
      <c r="B91" t="str">
        <f>Export!A90</f>
        <v>311</v>
      </c>
      <c r="C91" t="str">
        <f>Export!B90</f>
        <v>Sao Tome und Principe</v>
      </c>
      <c r="E91">
        <f t="shared" si="21"/>
        <v>175.94499999999999</v>
      </c>
      <c r="F91" t="str">
        <f>Import!A90</f>
        <v>311</v>
      </c>
      <c r="G91" t="str">
        <f>Import!B90</f>
        <v>Sao Tome und Principe</v>
      </c>
    </row>
    <row r="92" spans="1:7" x14ac:dyDescent="0.25">
      <c r="A92">
        <f t="shared" si="20"/>
        <v>15753.21</v>
      </c>
      <c r="B92" t="str">
        <f>Export!A91</f>
        <v>314</v>
      </c>
      <c r="C92" t="str">
        <f>Export!B91</f>
        <v>Gabun</v>
      </c>
      <c r="E92">
        <f t="shared" si="21"/>
        <v>228.1</v>
      </c>
      <c r="F92" t="str">
        <f>Import!A91</f>
        <v>314</v>
      </c>
      <c r="G92" t="str">
        <f>Import!B91</f>
        <v>Gabun</v>
      </c>
    </row>
    <row r="93" spans="1:7" x14ac:dyDescent="0.25">
      <c r="A93">
        <f t="shared" si="20"/>
        <v>1569.241</v>
      </c>
      <c r="B93" t="str">
        <f>Export!A92</f>
        <v>318</v>
      </c>
      <c r="C93" t="str">
        <f>Export!B92</f>
        <v>Republik Kongo</v>
      </c>
      <c r="E93">
        <f t="shared" si="21"/>
        <v>709.39800000000002</v>
      </c>
      <c r="F93" t="str">
        <f>Import!A92</f>
        <v>318</v>
      </c>
      <c r="G93" t="str">
        <f>Import!B92</f>
        <v>Republik Kongo</v>
      </c>
    </row>
    <row r="94" spans="1:7" x14ac:dyDescent="0.25">
      <c r="A94">
        <f t="shared" si="20"/>
        <v>9300.2479999999996</v>
      </c>
      <c r="B94" t="str">
        <f>Export!A93</f>
        <v>322</v>
      </c>
      <c r="C94" t="str">
        <f>Export!B93</f>
        <v>Demokrat.Republik Kongo</v>
      </c>
      <c r="E94">
        <f t="shared" si="21"/>
        <v>605.23900000000003</v>
      </c>
      <c r="F94" t="str">
        <f>Import!A93</f>
        <v>322</v>
      </c>
      <c r="G94" t="str">
        <f>Import!B93</f>
        <v>Demokrat.Republik Kongo</v>
      </c>
    </row>
    <row r="95" spans="1:7" x14ac:dyDescent="0.25">
      <c r="A95">
        <f t="shared" si="20"/>
        <v>3736.1019999999999</v>
      </c>
      <c r="B95" t="str">
        <f>Export!A94</f>
        <v>324</v>
      </c>
      <c r="C95" t="str">
        <f>Export!B94</f>
        <v>Ruanda</v>
      </c>
      <c r="E95">
        <f t="shared" si="21"/>
        <v>17612.069</v>
      </c>
      <c r="F95" t="str">
        <f>Import!A94</f>
        <v>324</v>
      </c>
      <c r="G95" t="str">
        <f>Import!B94</f>
        <v>Ruanda</v>
      </c>
    </row>
    <row r="96" spans="1:7" x14ac:dyDescent="0.25">
      <c r="A96">
        <f t="shared" si="20"/>
        <v>1780.5709999999999</v>
      </c>
      <c r="B96" t="str">
        <f>Export!A95</f>
        <v>328</v>
      </c>
      <c r="C96" t="str">
        <f>Export!B95</f>
        <v>Burundi</v>
      </c>
      <c r="E96">
        <f t="shared" si="21"/>
        <v>173.053</v>
      </c>
      <c r="F96" t="str">
        <f>Import!A95</f>
        <v>328</v>
      </c>
      <c r="G96" t="str">
        <f>Import!B95</f>
        <v>Burundi</v>
      </c>
    </row>
    <row r="97" spans="1:7" x14ac:dyDescent="0.25">
      <c r="A97">
        <f t="shared" si="20"/>
        <v>5.1710000000000003</v>
      </c>
      <c r="B97" t="str">
        <f>Export!A96</f>
        <v>329</v>
      </c>
      <c r="C97" t="str">
        <f>Export!B96</f>
        <v>St. Helena</v>
      </c>
      <c r="E97">
        <f t="shared" si="21"/>
        <v>11.351000000000001</v>
      </c>
      <c r="F97" t="str">
        <f>Import!A96</f>
        <v>329</v>
      </c>
      <c r="G97" t="str">
        <f>Import!B96</f>
        <v>St. Helena</v>
      </c>
    </row>
    <row r="98" spans="1:7" x14ac:dyDescent="0.25">
      <c r="A98">
        <f t="shared" si="20"/>
        <v>7974.982</v>
      </c>
      <c r="B98" t="str">
        <f>Export!A97</f>
        <v>330</v>
      </c>
      <c r="C98" t="str">
        <f>Export!B97</f>
        <v>Angola</v>
      </c>
      <c r="E98">
        <f t="shared" si="21"/>
        <v>76.751000000000005</v>
      </c>
      <c r="F98" t="str">
        <f>Import!A97</f>
        <v>330</v>
      </c>
      <c r="G98" t="str">
        <f>Import!B97</f>
        <v>Angola</v>
      </c>
    </row>
    <row r="99" spans="1:7" x14ac:dyDescent="0.25">
      <c r="A99">
        <f t="shared" si="20"/>
        <v>11068.687</v>
      </c>
      <c r="B99" t="str">
        <f>Export!A98</f>
        <v>334</v>
      </c>
      <c r="C99" t="str">
        <f>Export!B98</f>
        <v>Äthiopien</v>
      </c>
      <c r="E99">
        <f t="shared" si="21"/>
        <v>5102.24</v>
      </c>
      <c r="F99" t="str">
        <f>Import!A98</f>
        <v>334</v>
      </c>
      <c r="G99" t="str">
        <f>Import!B98</f>
        <v>Äthiopien</v>
      </c>
    </row>
    <row r="100" spans="1:7" x14ac:dyDescent="0.25">
      <c r="A100">
        <f t="shared" si="20"/>
        <v>777.34799999999996</v>
      </c>
      <c r="B100" t="str">
        <f>Export!A99</f>
        <v>336</v>
      </c>
      <c r="C100" t="str">
        <f>Export!B99</f>
        <v>Eritrea</v>
      </c>
      <c r="E100">
        <f t="shared" si="21"/>
        <v>40.021000000000001</v>
      </c>
      <c r="F100" t="str">
        <f>Import!A99</f>
        <v>336</v>
      </c>
      <c r="G100" t="str">
        <f>Import!B99</f>
        <v>Eritrea</v>
      </c>
    </row>
    <row r="101" spans="1:7" x14ac:dyDescent="0.25">
      <c r="A101">
        <f t="shared" si="20"/>
        <v>3415.991</v>
      </c>
      <c r="B101" t="str">
        <f>Export!A100</f>
        <v>338</v>
      </c>
      <c r="C101" t="str">
        <f>Export!B100</f>
        <v>Dschibuti</v>
      </c>
      <c r="E101">
        <f t="shared" si="21"/>
        <v>142.80199999999999</v>
      </c>
      <c r="F101" t="str">
        <f>Import!A100</f>
        <v>338</v>
      </c>
      <c r="G101" t="str">
        <f>Import!B100</f>
        <v>Dschibuti</v>
      </c>
    </row>
    <row r="102" spans="1:7" x14ac:dyDescent="0.25">
      <c r="A102">
        <f t="shared" si="20"/>
        <v>1316.451</v>
      </c>
      <c r="B102" t="str">
        <f>Export!A101</f>
        <v>342</v>
      </c>
      <c r="C102" t="str">
        <f>Export!B101</f>
        <v>Somalia</v>
      </c>
      <c r="E102">
        <f t="shared" si="21"/>
        <v>154.905</v>
      </c>
      <c r="F102" t="str">
        <f>Import!A101</f>
        <v>342</v>
      </c>
      <c r="G102" t="str">
        <f>Import!B101</f>
        <v>Somalia</v>
      </c>
    </row>
    <row r="103" spans="1:7" x14ac:dyDescent="0.25">
      <c r="A103">
        <f t="shared" si="20"/>
        <v>23724.543000000001</v>
      </c>
      <c r="B103" t="str">
        <f>Export!A102</f>
        <v>346</v>
      </c>
      <c r="C103" t="str">
        <f>Export!B102</f>
        <v>Kenia</v>
      </c>
      <c r="E103">
        <f t="shared" si="21"/>
        <v>15314.825999999999</v>
      </c>
      <c r="F103" t="str">
        <f>Import!A102</f>
        <v>346</v>
      </c>
      <c r="G103" t="str">
        <f>Import!B102</f>
        <v>Kenia</v>
      </c>
    </row>
    <row r="104" spans="1:7" x14ac:dyDescent="0.25">
      <c r="A104">
        <f t="shared" si="20"/>
        <v>6645.174</v>
      </c>
      <c r="B104" t="str">
        <f>Export!A103</f>
        <v>350</v>
      </c>
      <c r="C104" t="str">
        <f>Export!B103</f>
        <v>Uganda</v>
      </c>
      <c r="E104">
        <f t="shared" si="21"/>
        <v>10743.349</v>
      </c>
      <c r="F104" t="str">
        <f>Import!A103</f>
        <v>350</v>
      </c>
      <c r="G104" t="str">
        <f>Import!B103</f>
        <v>Uganda</v>
      </c>
    </row>
    <row r="105" spans="1:7" x14ac:dyDescent="0.25">
      <c r="A105">
        <f t="shared" si="20"/>
        <v>30585.627</v>
      </c>
      <c r="B105" t="str">
        <f>Export!A104</f>
        <v>352</v>
      </c>
      <c r="C105" t="str">
        <f>Export!B104</f>
        <v>Tansania</v>
      </c>
      <c r="E105">
        <f t="shared" si="21"/>
        <v>2942.61</v>
      </c>
      <c r="F105" t="str">
        <f>Import!A104</f>
        <v>352</v>
      </c>
      <c r="G105" t="str">
        <f>Import!B104</f>
        <v>Tansania</v>
      </c>
    </row>
    <row r="106" spans="1:7" x14ac:dyDescent="0.25">
      <c r="A106">
        <f t="shared" si="20"/>
        <v>1478.18</v>
      </c>
      <c r="B106" t="str">
        <f>Export!A105</f>
        <v>355</v>
      </c>
      <c r="C106" t="str">
        <f>Export!B105</f>
        <v>Seychellen</v>
      </c>
      <c r="E106">
        <f t="shared" si="21"/>
        <v>139.44900000000001</v>
      </c>
      <c r="F106" t="str">
        <f>Import!A105</f>
        <v>355</v>
      </c>
      <c r="G106" t="str">
        <f>Import!B105</f>
        <v>Seychellen</v>
      </c>
    </row>
    <row r="107" spans="1:7" x14ac:dyDescent="0.25">
      <c r="A107">
        <f t="shared" si="20"/>
        <v>0</v>
      </c>
      <c r="B107" t="str">
        <f>Export!A106</f>
        <v>357</v>
      </c>
      <c r="C107" t="str">
        <f>Export!B106</f>
        <v>Brit.Geb.im Ind.Ozean</v>
      </c>
      <c r="E107">
        <f t="shared" si="21"/>
        <v>33.723999999999997</v>
      </c>
      <c r="F107" t="str">
        <f>Import!A106</f>
        <v>357</v>
      </c>
      <c r="G107" t="str">
        <f>Import!B106</f>
        <v>Brit.Geb.im Ind.Ozean</v>
      </c>
    </row>
    <row r="108" spans="1:7" x14ac:dyDescent="0.25">
      <c r="A108">
        <f t="shared" si="20"/>
        <v>8501.8909999999996</v>
      </c>
      <c r="B108" t="str">
        <f>Export!A107</f>
        <v>366</v>
      </c>
      <c r="C108" t="str">
        <f>Export!B107</f>
        <v>Mosambik</v>
      </c>
      <c r="E108">
        <f t="shared" si="21"/>
        <v>8506.393</v>
      </c>
      <c r="F108" t="str">
        <f>Import!A107</f>
        <v>366</v>
      </c>
      <c r="G108" t="str">
        <f>Import!B107</f>
        <v>Mosambik</v>
      </c>
    </row>
    <row r="109" spans="1:7" x14ac:dyDescent="0.25">
      <c r="A109">
        <f t="shared" si="20"/>
        <v>3598.674</v>
      </c>
      <c r="B109" t="str">
        <f>Export!A108</f>
        <v>370</v>
      </c>
      <c r="C109" t="str">
        <f>Export!B108</f>
        <v>Madagaskar</v>
      </c>
      <c r="E109">
        <f t="shared" si="21"/>
        <v>13651.824000000001</v>
      </c>
      <c r="F109" t="str">
        <f>Import!A108</f>
        <v>370</v>
      </c>
      <c r="G109" t="str">
        <f>Import!B108</f>
        <v>Madagaskar</v>
      </c>
    </row>
    <row r="110" spans="1:7" x14ac:dyDescent="0.25">
      <c r="A110">
        <f t="shared" si="20"/>
        <v>0</v>
      </c>
      <c r="B110" t="str">
        <f>Export!A109</f>
        <v>372</v>
      </c>
      <c r="C110" t="str">
        <f>Export!B109</f>
        <v>Reunion</v>
      </c>
      <c r="E110">
        <f t="shared" si="21"/>
        <v>0</v>
      </c>
      <c r="F110" t="str">
        <f>Import!A109</f>
        <v>372</v>
      </c>
      <c r="G110" t="str">
        <f>Import!B109</f>
        <v>Reunion</v>
      </c>
    </row>
    <row r="111" spans="1:7" x14ac:dyDescent="0.25">
      <c r="A111">
        <f t="shared" si="20"/>
        <v>10842.164000000001</v>
      </c>
      <c r="B111" t="str">
        <f>Export!A110</f>
        <v>373</v>
      </c>
      <c r="C111" t="str">
        <f>Export!B110</f>
        <v>Mauritius</v>
      </c>
      <c r="E111">
        <f t="shared" si="21"/>
        <v>7638.098</v>
      </c>
      <c r="F111" t="str">
        <f>Import!A110</f>
        <v>373</v>
      </c>
      <c r="G111" t="str">
        <f>Import!B110</f>
        <v>Mauritius</v>
      </c>
    </row>
    <row r="112" spans="1:7" x14ac:dyDescent="0.25">
      <c r="A112">
        <f t="shared" si="20"/>
        <v>37.802999999999997</v>
      </c>
      <c r="B112" t="str">
        <f>Export!A111</f>
        <v>375</v>
      </c>
      <c r="C112" t="str">
        <f>Export!B111</f>
        <v>Komoren</v>
      </c>
      <c r="E112">
        <f t="shared" si="21"/>
        <v>104.333</v>
      </c>
      <c r="F112" t="str">
        <f>Import!A111</f>
        <v>375</v>
      </c>
      <c r="G112" t="str">
        <f>Import!B111</f>
        <v>Komoren</v>
      </c>
    </row>
    <row r="113" spans="1:7" x14ac:dyDescent="0.25">
      <c r="A113">
        <f t="shared" si="20"/>
        <v>0</v>
      </c>
      <c r="B113" t="str">
        <f>Export!A112</f>
        <v>377</v>
      </c>
      <c r="C113" t="str">
        <f>Export!B112</f>
        <v>Mayotte</v>
      </c>
      <c r="E113">
        <f t="shared" si="21"/>
        <v>0</v>
      </c>
      <c r="F113" t="str">
        <f>Import!A112</f>
        <v>377</v>
      </c>
      <c r="G113" t="str">
        <f>Import!B112</f>
        <v>Mayotte</v>
      </c>
    </row>
    <row r="114" spans="1:7" x14ac:dyDescent="0.25">
      <c r="A114">
        <f t="shared" si="20"/>
        <v>3786.614</v>
      </c>
      <c r="B114" t="str">
        <f>Export!A113</f>
        <v>378</v>
      </c>
      <c r="C114" t="str">
        <f>Export!B113</f>
        <v>Sambia</v>
      </c>
      <c r="E114">
        <f t="shared" si="21"/>
        <v>230.53200000000001</v>
      </c>
      <c r="F114" t="str">
        <f>Import!A113</f>
        <v>378</v>
      </c>
      <c r="G114" t="str">
        <f>Import!B113</f>
        <v>Sambia</v>
      </c>
    </row>
    <row r="115" spans="1:7" x14ac:dyDescent="0.25">
      <c r="A115">
        <f t="shared" si="20"/>
        <v>7161.4539999999997</v>
      </c>
      <c r="B115" t="str">
        <f>Export!A114</f>
        <v>382</v>
      </c>
      <c r="C115" t="str">
        <f>Export!B114</f>
        <v>Simbabwe</v>
      </c>
      <c r="E115">
        <f t="shared" si="21"/>
        <v>2203.5259999999998</v>
      </c>
      <c r="F115" t="str">
        <f>Import!A114</f>
        <v>382</v>
      </c>
      <c r="G115" t="str">
        <f>Import!B114</f>
        <v>Simbabwe</v>
      </c>
    </row>
    <row r="116" spans="1:7" x14ac:dyDescent="0.25">
      <c r="A116">
        <f t="shared" si="20"/>
        <v>709.12599999999998</v>
      </c>
      <c r="B116" t="str">
        <f>Export!A115</f>
        <v>386</v>
      </c>
      <c r="C116" t="str">
        <f>Export!B115</f>
        <v>Malawi</v>
      </c>
      <c r="E116">
        <f t="shared" si="21"/>
        <v>326.89299999999997</v>
      </c>
      <c r="F116" t="str">
        <f>Import!A115</f>
        <v>386</v>
      </c>
      <c r="G116" t="str">
        <f>Import!B115</f>
        <v>Malawi</v>
      </c>
    </row>
    <row r="117" spans="1:7" x14ac:dyDescent="0.25">
      <c r="A117">
        <f t="shared" si="20"/>
        <v>778679.73100000003</v>
      </c>
      <c r="B117" t="str">
        <f>Export!A116</f>
        <v>388</v>
      </c>
      <c r="C117" t="str">
        <f>Export!B116</f>
        <v>Südafrika</v>
      </c>
      <c r="E117">
        <f t="shared" si="21"/>
        <v>700477.15399999998</v>
      </c>
      <c r="F117" t="str">
        <f>Import!A116</f>
        <v>388</v>
      </c>
      <c r="G117" t="str">
        <f>Import!B116</f>
        <v>Südafrika</v>
      </c>
    </row>
    <row r="118" spans="1:7" x14ac:dyDescent="0.25">
      <c r="A118">
        <f t="shared" si="20"/>
        <v>12104.548000000001</v>
      </c>
      <c r="B118" t="str">
        <f>Export!A117</f>
        <v>389</v>
      </c>
      <c r="C118" t="str">
        <f>Export!B117</f>
        <v>Namibia</v>
      </c>
      <c r="E118">
        <f t="shared" si="21"/>
        <v>4507.6779999999999</v>
      </c>
      <c r="F118" t="str">
        <f>Import!A117</f>
        <v>389</v>
      </c>
      <c r="G118" t="str">
        <f>Import!B117</f>
        <v>Namibia</v>
      </c>
    </row>
    <row r="119" spans="1:7" x14ac:dyDescent="0.25">
      <c r="A119">
        <f t="shared" si="20"/>
        <v>1395.9290000000001</v>
      </c>
      <c r="B119" t="str">
        <f>Export!A118</f>
        <v>391</v>
      </c>
      <c r="C119" t="str">
        <f>Export!B118</f>
        <v>Botsuana</v>
      </c>
      <c r="E119">
        <f t="shared" si="21"/>
        <v>64.578999999999994</v>
      </c>
      <c r="F119" t="str">
        <f>Import!A118</f>
        <v>391</v>
      </c>
      <c r="G119" t="str">
        <f>Import!B118</f>
        <v>Botsuana</v>
      </c>
    </row>
    <row r="120" spans="1:7" x14ac:dyDescent="0.25">
      <c r="A120">
        <f t="shared" si="20"/>
        <v>8451.6080000000002</v>
      </c>
      <c r="B120" t="str">
        <f>Export!A119</f>
        <v>393</v>
      </c>
      <c r="C120" t="str">
        <f>Export!B119</f>
        <v>Swasiland</v>
      </c>
      <c r="E120">
        <f t="shared" si="21"/>
        <v>690.91899999999998</v>
      </c>
      <c r="F120" t="str">
        <f>Import!A119</f>
        <v>393</v>
      </c>
      <c r="G120" t="str">
        <f>Import!B119</f>
        <v>Swasiland</v>
      </c>
    </row>
    <row r="121" spans="1:7" x14ac:dyDescent="0.25">
      <c r="A121">
        <f t="shared" si="20"/>
        <v>743.19799999999998</v>
      </c>
      <c r="B121" t="str">
        <f>Export!A120</f>
        <v>395</v>
      </c>
      <c r="C121" t="str">
        <f>Export!B120</f>
        <v>Lesotho</v>
      </c>
      <c r="E121">
        <f t="shared" si="21"/>
        <v>60.777000000000001</v>
      </c>
      <c r="F121" t="str">
        <f>Import!A120</f>
        <v>395</v>
      </c>
      <c r="G121" t="str">
        <f>Import!B120</f>
        <v>Lesotho</v>
      </c>
    </row>
    <row r="122" spans="1:7" x14ac:dyDescent="0.25">
      <c r="A122">
        <f t="shared" si="20"/>
        <v>14743677.122</v>
      </c>
      <c r="B122" t="str">
        <f>Export!A121</f>
        <v>400</v>
      </c>
      <c r="C122" t="str">
        <f>Export!B121</f>
        <v>Vereinigte Staaten</v>
      </c>
      <c r="E122">
        <f t="shared" si="21"/>
        <v>7917107.6940000001</v>
      </c>
      <c r="F122" t="str">
        <f>Import!A121</f>
        <v>400</v>
      </c>
      <c r="G122" t="str">
        <f>Import!B121</f>
        <v>Vereinigte Staaten</v>
      </c>
    </row>
    <row r="123" spans="1:7" x14ac:dyDescent="0.25">
      <c r="A123">
        <f t="shared" si="20"/>
        <v>1662296.3189999999</v>
      </c>
      <c r="B123" t="str">
        <f>Export!A122</f>
        <v>404</v>
      </c>
      <c r="C123" t="str">
        <f>Export!B122</f>
        <v>Kanada</v>
      </c>
      <c r="E123">
        <f t="shared" si="21"/>
        <v>715498.29700000002</v>
      </c>
      <c r="F123" t="str">
        <f>Import!A122</f>
        <v>404</v>
      </c>
      <c r="G123" t="str">
        <f>Import!B122</f>
        <v>Kanada</v>
      </c>
    </row>
    <row r="124" spans="1:7" x14ac:dyDescent="0.25">
      <c r="A124">
        <f t="shared" si="20"/>
        <v>135.99199999999999</v>
      </c>
      <c r="B124" t="str">
        <f>Export!A123</f>
        <v>406</v>
      </c>
      <c r="C124" t="str">
        <f>Export!B123</f>
        <v>Grönland</v>
      </c>
      <c r="E124">
        <f t="shared" si="21"/>
        <v>623.63</v>
      </c>
      <c r="F124" t="str">
        <f>Import!A123</f>
        <v>406</v>
      </c>
      <c r="G124" t="str">
        <f>Import!B123</f>
        <v>Grönland</v>
      </c>
    </row>
    <row r="125" spans="1:7" x14ac:dyDescent="0.25">
      <c r="A125">
        <f t="shared" si="20"/>
        <v>6.7510000000000003</v>
      </c>
      <c r="B125" t="str">
        <f>Export!A124</f>
        <v>408</v>
      </c>
      <c r="C125" t="str">
        <f>Export!B124</f>
        <v>St.Pierre und Miquelon</v>
      </c>
      <c r="E125">
        <f t="shared" si="21"/>
        <v>0</v>
      </c>
      <c r="F125" t="str">
        <f>Import!A124</f>
        <v>408</v>
      </c>
      <c r="G125" t="str">
        <f>Import!B124</f>
        <v>St.Pierre und Miquelon</v>
      </c>
    </row>
    <row r="126" spans="1:7" x14ac:dyDescent="0.25">
      <c r="A126">
        <f t="shared" si="20"/>
        <v>1984683.041</v>
      </c>
      <c r="B126" t="str">
        <f>Export!A125</f>
        <v>412</v>
      </c>
      <c r="C126" t="str">
        <f>Export!B125</f>
        <v>Mexiko</v>
      </c>
      <c r="E126">
        <f t="shared" si="21"/>
        <v>642962.478</v>
      </c>
      <c r="F126" t="str">
        <f>Import!A125</f>
        <v>412</v>
      </c>
      <c r="G126" t="str">
        <f>Import!B125</f>
        <v>Mexiko</v>
      </c>
    </row>
    <row r="127" spans="1:7" x14ac:dyDescent="0.25">
      <c r="A127">
        <f t="shared" si="20"/>
        <v>438.255</v>
      </c>
      <c r="B127" t="str">
        <f>Export!A126</f>
        <v>413</v>
      </c>
      <c r="C127" t="str">
        <f>Export!B126</f>
        <v>Bermuda</v>
      </c>
      <c r="E127">
        <f t="shared" si="21"/>
        <v>18.440000000000001</v>
      </c>
      <c r="F127" t="str">
        <f>Import!A126</f>
        <v>413</v>
      </c>
      <c r="G127" t="str">
        <f>Import!B126</f>
        <v>Bermuda</v>
      </c>
    </row>
    <row r="128" spans="1:7" x14ac:dyDescent="0.25">
      <c r="A128">
        <f t="shared" si="20"/>
        <v>38451.012999999999</v>
      </c>
      <c r="B128" t="str">
        <f>Export!A127</f>
        <v>416</v>
      </c>
      <c r="C128" t="str">
        <f>Export!B127</f>
        <v>Guatemala</v>
      </c>
      <c r="E128">
        <f t="shared" si="21"/>
        <v>7648.4089999999997</v>
      </c>
      <c r="F128" t="str">
        <f>Import!A127</f>
        <v>416</v>
      </c>
      <c r="G128" t="str">
        <f>Import!B127</f>
        <v>Guatemala</v>
      </c>
    </row>
    <row r="129" spans="1:7" x14ac:dyDescent="0.25">
      <c r="A129">
        <f t="shared" si="20"/>
        <v>6670.5810000000001</v>
      </c>
      <c r="B129" t="str">
        <f>Export!A128</f>
        <v>421</v>
      </c>
      <c r="C129" t="str">
        <f>Export!B128</f>
        <v>Belize</v>
      </c>
      <c r="E129">
        <f t="shared" si="21"/>
        <v>477.16</v>
      </c>
      <c r="F129" t="str">
        <f>Import!A128</f>
        <v>421</v>
      </c>
      <c r="G129" t="str">
        <f>Import!B128</f>
        <v>Belize</v>
      </c>
    </row>
    <row r="130" spans="1:7" x14ac:dyDescent="0.25">
      <c r="A130">
        <f t="shared" si="20"/>
        <v>16643.668000000001</v>
      </c>
      <c r="B130" t="str">
        <f>Export!A129</f>
        <v>424</v>
      </c>
      <c r="C130" t="str">
        <f>Export!B129</f>
        <v>Honduras</v>
      </c>
      <c r="E130">
        <f t="shared" si="21"/>
        <v>8949.6470000000008</v>
      </c>
      <c r="F130" t="str">
        <f>Import!A129</f>
        <v>424</v>
      </c>
      <c r="G130" t="str">
        <f>Import!B129</f>
        <v>Honduras</v>
      </c>
    </row>
    <row r="131" spans="1:7" x14ac:dyDescent="0.25">
      <c r="A131">
        <f t="shared" ref="A131:A194" si="22">VLOOKUP(C131,Export_Matrix,$A$1,FALSE)/Einheit_Wert</f>
        <v>9141.1779999999999</v>
      </c>
      <c r="B131" t="str">
        <f>Export!A130</f>
        <v>428</v>
      </c>
      <c r="C131" t="str">
        <f>Export!B130</f>
        <v>El Salvador</v>
      </c>
      <c r="E131">
        <f t="shared" ref="E131:E194" si="23">VLOOKUP(G131,Import_Matrix,$A$1,FALSE)/Einheit_Wert</f>
        <v>3222.3539999999998</v>
      </c>
      <c r="F131" t="str">
        <f>Import!A130</f>
        <v>428</v>
      </c>
      <c r="G131" t="str">
        <f>Import!B130</f>
        <v>El Salvador</v>
      </c>
    </row>
    <row r="132" spans="1:7" x14ac:dyDescent="0.25">
      <c r="A132">
        <f t="shared" si="22"/>
        <v>1510.6089999999999</v>
      </c>
      <c r="B132" t="str">
        <f>Export!A131</f>
        <v>432</v>
      </c>
      <c r="C132" t="str">
        <f>Export!B131</f>
        <v>Nicaragua</v>
      </c>
      <c r="E132">
        <f t="shared" si="23"/>
        <v>2275.355</v>
      </c>
      <c r="F132" t="str">
        <f>Import!A131</f>
        <v>432</v>
      </c>
      <c r="G132" t="str">
        <f>Import!B131</f>
        <v>Nicaragua</v>
      </c>
    </row>
    <row r="133" spans="1:7" x14ac:dyDescent="0.25">
      <c r="A133">
        <f t="shared" si="22"/>
        <v>40961.569000000003</v>
      </c>
      <c r="B133" t="str">
        <f>Export!A132</f>
        <v>436</v>
      </c>
      <c r="C133" t="str">
        <f>Export!B132</f>
        <v>Costa Rica</v>
      </c>
      <c r="E133">
        <f t="shared" si="23"/>
        <v>67490.116999999998</v>
      </c>
      <c r="F133" t="str">
        <f>Import!A132</f>
        <v>436</v>
      </c>
      <c r="G133" t="str">
        <f>Import!B132</f>
        <v>Costa Rica</v>
      </c>
    </row>
    <row r="134" spans="1:7" x14ac:dyDescent="0.25">
      <c r="A134">
        <f t="shared" si="22"/>
        <v>25582.25</v>
      </c>
      <c r="B134" t="str">
        <f>Export!A133</f>
        <v>442</v>
      </c>
      <c r="C134" t="str">
        <f>Export!B133</f>
        <v>Panama</v>
      </c>
      <c r="E134">
        <f t="shared" si="23"/>
        <v>3705.8919999999998</v>
      </c>
      <c r="F134" t="str">
        <f>Import!A133</f>
        <v>442</v>
      </c>
      <c r="G134" t="str">
        <f>Import!B133</f>
        <v>Panama</v>
      </c>
    </row>
    <row r="135" spans="1:7" x14ac:dyDescent="0.25">
      <c r="A135">
        <f t="shared" si="22"/>
        <v>5.8079999999999998</v>
      </c>
      <c r="B135" t="str">
        <f>Export!A134</f>
        <v>446</v>
      </c>
      <c r="C135" t="str">
        <f>Export!B134</f>
        <v>Anguilla</v>
      </c>
      <c r="E135">
        <f t="shared" si="23"/>
        <v>18.873000000000001</v>
      </c>
      <c r="F135" t="str">
        <f>Import!A134</f>
        <v>446</v>
      </c>
      <c r="G135" t="str">
        <f>Import!B134</f>
        <v>Anguilla</v>
      </c>
    </row>
    <row r="136" spans="1:7" x14ac:dyDescent="0.25">
      <c r="A136">
        <f t="shared" si="22"/>
        <v>7394.6989999999996</v>
      </c>
      <c r="B136" t="str">
        <f>Export!A135</f>
        <v>448</v>
      </c>
      <c r="C136" t="str">
        <f>Export!B135</f>
        <v>Kuba</v>
      </c>
      <c r="E136">
        <f t="shared" si="23"/>
        <v>832.55100000000004</v>
      </c>
      <c r="F136" t="str">
        <f>Import!A135</f>
        <v>448</v>
      </c>
      <c r="G136" t="str">
        <f>Import!B135</f>
        <v>Kuba</v>
      </c>
    </row>
    <row r="137" spans="1:7" x14ac:dyDescent="0.25">
      <c r="A137">
        <f t="shared" si="22"/>
        <v>128.167</v>
      </c>
      <c r="B137" t="str">
        <f>Export!A136</f>
        <v>449</v>
      </c>
      <c r="C137" t="str">
        <f>Export!B136</f>
        <v>St.Kitts und Nevis</v>
      </c>
      <c r="E137">
        <f t="shared" si="23"/>
        <v>33.380000000000003</v>
      </c>
      <c r="F137" t="str">
        <f>Import!A136</f>
        <v>449</v>
      </c>
      <c r="G137" t="str">
        <f>Import!B136</f>
        <v>St.Kitts und Nevis</v>
      </c>
    </row>
    <row r="138" spans="1:7" x14ac:dyDescent="0.25">
      <c r="A138">
        <f t="shared" si="22"/>
        <v>1192.325</v>
      </c>
      <c r="B138" t="str">
        <f>Export!A137</f>
        <v>452</v>
      </c>
      <c r="C138" t="str">
        <f>Export!B137</f>
        <v>Haiti</v>
      </c>
      <c r="E138">
        <f t="shared" si="23"/>
        <v>490.66</v>
      </c>
      <c r="F138" t="str">
        <f>Import!A137</f>
        <v>452</v>
      </c>
      <c r="G138" t="str">
        <f>Import!B137</f>
        <v>Haiti</v>
      </c>
    </row>
    <row r="139" spans="1:7" x14ac:dyDescent="0.25">
      <c r="A139">
        <f t="shared" si="22"/>
        <v>12808.626</v>
      </c>
      <c r="B139" t="str">
        <f>Export!A138</f>
        <v>453</v>
      </c>
      <c r="C139" t="str">
        <f>Export!B138</f>
        <v>Bahamas</v>
      </c>
      <c r="E139">
        <f t="shared" si="23"/>
        <v>430.85500000000002</v>
      </c>
      <c r="F139" t="str">
        <f>Import!A138</f>
        <v>453</v>
      </c>
      <c r="G139" t="str">
        <f>Import!B138</f>
        <v>Bahamas</v>
      </c>
    </row>
    <row r="140" spans="1:7" x14ac:dyDescent="0.25">
      <c r="A140">
        <f t="shared" si="22"/>
        <v>1660.981</v>
      </c>
      <c r="B140" t="str">
        <f>Export!A139</f>
        <v>454</v>
      </c>
      <c r="C140" t="str">
        <f>Export!B139</f>
        <v>Turks-und Caicosinseln</v>
      </c>
      <c r="E140">
        <f t="shared" si="23"/>
        <v>33.154000000000003</v>
      </c>
      <c r="F140" t="str">
        <f>Import!A139</f>
        <v>454</v>
      </c>
      <c r="G140" t="str">
        <f>Import!B139</f>
        <v>Turks-und Caicosinseln</v>
      </c>
    </row>
    <row r="141" spans="1:7" x14ac:dyDescent="0.25">
      <c r="A141">
        <f t="shared" si="22"/>
        <v>30929.832999999999</v>
      </c>
      <c r="B141" t="str">
        <f>Export!A140</f>
        <v>456</v>
      </c>
      <c r="C141" t="str">
        <f>Export!B140</f>
        <v>Dominikanische Republik</v>
      </c>
      <c r="E141">
        <f t="shared" si="23"/>
        <v>34508.322</v>
      </c>
      <c r="F141" t="str">
        <f>Import!A140</f>
        <v>456</v>
      </c>
      <c r="G141" t="str">
        <f>Import!B140</f>
        <v>Dominikanische Republik</v>
      </c>
    </row>
    <row r="142" spans="1:7" x14ac:dyDescent="0.25">
      <c r="A142">
        <f t="shared" si="22"/>
        <v>297.81900000000002</v>
      </c>
      <c r="B142" t="str">
        <f>Export!A141</f>
        <v>457</v>
      </c>
      <c r="C142" t="str">
        <f>Export!B141</f>
        <v>Amerik.Jungferninseln</v>
      </c>
      <c r="E142">
        <f t="shared" si="23"/>
        <v>1507.114</v>
      </c>
      <c r="F142" t="str">
        <f>Import!A141</f>
        <v>457</v>
      </c>
      <c r="G142" t="str">
        <f>Import!B141</f>
        <v>Amerik.Jungferninseln</v>
      </c>
    </row>
    <row r="143" spans="1:7" x14ac:dyDescent="0.25">
      <c r="A143">
        <f t="shared" si="22"/>
        <v>0</v>
      </c>
      <c r="B143" t="str">
        <f>Export!A142</f>
        <v>458</v>
      </c>
      <c r="C143" t="str">
        <f>Export!B142</f>
        <v>Guadeloupe</v>
      </c>
      <c r="E143">
        <f t="shared" si="23"/>
        <v>0</v>
      </c>
      <c r="F143" t="str">
        <f>Import!A142</f>
        <v>458</v>
      </c>
      <c r="G143" t="str">
        <f>Import!B142</f>
        <v>Guadeloupe</v>
      </c>
    </row>
    <row r="144" spans="1:7" x14ac:dyDescent="0.25">
      <c r="A144">
        <f t="shared" si="22"/>
        <v>504.24799999999999</v>
      </c>
      <c r="B144" t="str">
        <f>Export!A143</f>
        <v>459</v>
      </c>
      <c r="C144" t="str">
        <f>Export!B143</f>
        <v>Antigua und Barbuda</v>
      </c>
      <c r="E144">
        <f t="shared" si="23"/>
        <v>185.643</v>
      </c>
      <c r="F144" t="str">
        <f>Import!A143</f>
        <v>459</v>
      </c>
      <c r="G144" t="str">
        <f>Import!B143</f>
        <v>Antigua und Barbuda</v>
      </c>
    </row>
    <row r="145" spans="1:7" x14ac:dyDescent="0.25">
      <c r="A145">
        <f t="shared" si="22"/>
        <v>505.13499999999999</v>
      </c>
      <c r="B145" t="str">
        <f>Export!A144</f>
        <v>460</v>
      </c>
      <c r="C145" t="str">
        <f>Export!B144</f>
        <v>Dominica</v>
      </c>
      <c r="E145">
        <f t="shared" si="23"/>
        <v>73.930000000000007</v>
      </c>
      <c r="F145" t="str">
        <f>Import!A144</f>
        <v>460</v>
      </c>
      <c r="G145" t="str">
        <f>Import!B144</f>
        <v>Dominica</v>
      </c>
    </row>
    <row r="146" spans="1:7" x14ac:dyDescent="0.25">
      <c r="A146">
        <f t="shared" si="22"/>
        <v>0</v>
      </c>
      <c r="B146" t="str">
        <f>Export!A145</f>
        <v>462</v>
      </c>
      <c r="C146" t="str">
        <f>Export!B145</f>
        <v>Martinique</v>
      </c>
      <c r="E146">
        <f t="shared" si="23"/>
        <v>0</v>
      </c>
      <c r="F146" t="str">
        <f>Import!A145</f>
        <v>462</v>
      </c>
      <c r="G146" t="str">
        <f>Import!B145</f>
        <v>Martinique</v>
      </c>
    </row>
    <row r="147" spans="1:7" x14ac:dyDescent="0.25">
      <c r="A147">
        <f t="shared" si="22"/>
        <v>912.69299999999998</v>
      </c>
      <c r="B147" t="str">
        <f>Export!A146</f>
        <v>463</v>
      </c>
      <c r="C147" t="str">
        <f>Export!B146</f>
        <v>Kaimaninseln</v>
      </c>
      <c r="E147">
        <f t="shared" si="23"/>
        <v>105.61</v>
      </c>
      <c r="F147" t="str">
        <f>Import!A146</f>
        <v>463</v>
      </c>
      <c r="G147" t="str">
        <f>Import!B146</f>
        <v>Kaimaninseln</v>
      </c>
    </row>
    <row r="148" spans="1:7" x14ac:dyDescent="0.25">
      <c r="A148">
        <f t="shared" si="22"/>
        <v>9667.5220000000008</v>
      </c>
      <c r="B148" t="str">
        <f>Export!A147</f>
        <v>464</v>
      </c>
      <c r="C148" t="str">
        <f>Export!B147</f>
        <v>Jamaika</v>
      </c>
      <c r="E148">
        <f t="shared" si="23"/>
        <v>773.15</v>
      </c>
      <c r="F148" t="str">
        <f>Import!A147</f>
        <v>464</v>
      </c>
      <c r="G148" t="str">
        <f>Import!B147</f>
        <v>Jamaika</v>
      </c>
    </row>
    <row r="149" spans="1:7" x14ac:dyDescent="0.25">
      <c r="A149">
        <f t="shared" si="22"/>
        <v>4714.1790000000001</v>
      </c>
      <c r="B149" t="str">
        <f>Export!A148</f>
        <v>465</v>
      </c>
      <c r="C149" t="str">
        <f>Export!B148</f>
        <v>St.Lucia</v>
      </c>
      <c r="E149">
        <f t="shared" si="23"/>
        <v>4.867</v>
      </c>
      <c r="F149" t="str">
        <f>Import!A148</f>
        <v>465</v>
      </c>
      <c r="G149" t="str">
        <f>Import!B148</f>
        <v>St.Lucia</v>
      </c>
    </row>
    <row r="150" spans="1:7" x14ac:dyDescent="0.25">
      <c r="A150">
        <f t="shared" si="22"/>
        <v>31.547000000000001</v>
      </c>
      <c r="B150" t="str">
        <f>Export!A149</f>
        <v>466</v>
      </c>
      <c r="C150" t="str">
        <f>Export!B149</f>
        <v>St. Barthélemy</v>
      </c>
      <c r="E150">
        <f t="shared" si="23"/>
        <v>57.789000000000001</v>
      </c>
      <c r="F150" t="str">
        <f>Import!A149</f>
        <v>466</v>
      </c>
      <c r="G150" t="str">
        <f>Import!B149</f>
        <v>St. Barthélemy</v>
      </c>
    </row>
    <row r="151" spans="1:7" x14ac:dyDescent="0.25">
      <c r="A151">
        <f t="shared" si="22"/>
        <v>363.339</v>
      </c>
      <c r="B151" t="str">
        <f>Export!A150</f>
        <v>467</v>
      </c>
      <c r="C151" t="str">
        <f>Export!B150</f>
        <v>St.Vincent</v>
      </c>
      <c r="E151">
        <f t="shared" si="23"/>
        <v>85.355000000000004</v>
      </c>
      <c r="F151" t="str">
        <f>Import!A150</f>
        <v>467</v>
      </c>
      <c r="G151" t="str">
        <f>Import!B150</f>
        <v>St.Vincent</v>
      </c>
    </row>
    <row r="152" spans="1:7" x14ac:dyDescent="0.25">
      <c r="A152">
        <f t="shared" si="22"/>
        <v>28976.323</v>
      </c>
      <c r="B152" t="str">
        <f>Export!A151</f>
        <v>468</v>
      </c>
      <c r="C152" t="str">
        <f>Export!B151</f>
        <v>Britische Jungferinseln</v>
      </c>
      <c r="E152">
        <f t="shared" si="23"/>
        <v>614.38599999999997</v>
      </c>
      <c r="F152" t="str">
        <f>Import!A151</f>
        <v>468</v>
      </c>
      <c r="G152" t="str">
        <f>Import!B151</f>
        <v>Britische Jungferinseln</v>
      </c>
    </row>
    <row r="153" spans="1:7" x14ac:dyDescent="0.25">
      <c r="A153">
        <f t="shared" si="22"/>
        <v>3951.3580000000002</v>
      </c>
      <c r="B153" t="str">
        <f>Export!A152</f>
        <v>469</v>
      </c>
      <c r="C153" t="str">
        <f>Export!B152</f>
        <v>Barbados</v>
      </c>
      <c r="E153">
        <f t="shared" si="23"/>
        <v>4603.6869999999999</v>
      </c>
      <c r="F153" t="str">
        <f>Import!A152</f>
        <v>469</v>
      </c>
      <c r="G153" t="str">
        <f>Import!B152</f>
        <v>Barbados</v>
      </c>
    </row>
    <row r="154" spans="1:7" x14ac:dyDescent="0.25">
      <c r="A154">
        <f t="shared" si="22"/>
        <v>43.930999999999997</v>
      </c>
      <c r="B154" t="str">
        <f>Export!A153</f>
        <v>470</v>
      </c>
      <c r="C154" t="str">
        <f>Export!B153</f>
        <v>Montserrat</v>
      </c>
      <c r="E154">
        <f t="shared" si="23"/>
        <v>26.51</v>
      </c>
      <c r="F154" t="str">
        <f>Import!A153</f>
        <v>470</v>
      </c>
      <c r="G154" t="str">
        <f>Import!B153</f>
        <v>Montserrat</v>
      </c>
    </row>
    <row r="155" spans="1:7" x14ac:dyDescent="0.25">
      <c r="A155">
        <f t="shared" si="22"/>
        <v>20619.065999999999</v>
      </c>
      <c r="B155" t="str">
        <f>Export!A154</f>
        <v>472</v>
      </c>
      <c r="C155" t="str">
        <f>Export!B154</f>
        <v>Trinidad und Tobago</v>
      </c>
      <c r="E155">
        <f t="shared" si="23"/>
        <v>756.52099999999996</v>
      </c>
      <c r="F155" t="str">
        <f>Import!A154</f>
        <v>472</v>
      </c>
      <c r="G155" t="str">
        <f>Import!B154</f>
        <v>Trinidad und Tobago</v>
      </c>
    </row>
    <row r="156" spans="1:7" x14ac:dyDescent="0.25">
      <c r="A156">
        <f t="shared" si="22"/>
        <v>442.49200000000002</v>
      </c>
      <c r="B156" t="str">
        <f>Export!A155</f>
        <v>473</v>
      </c>
      <c r="C156" t="str">
        <f>Export!B155</f>
        <v>Grenada</v>
      </c>
      <c r="E156">
        <f t="shared" si="23"/>
        <v>477.46699999999998</v>
      </c>
      <c r="F156" t="str">
        <f>Import!A155</f>
        <v>473</v>
      </c>
      <c r="G156" t="str">
        <f>Import!B155</f>
        <v>Grenada</v>
      </c>
    </row>
    <row r="157" spans="1:7" x14ac:dyDescent="0.25">
      <c r="A157">
        <f t="shared" si="22"/>
        <v>1642.616</v>
      </c>
      <c r="B157" t="str">
        <f>Export!A156</f>
        <v>474</v>
      </c>
      <c r="C157" t="str">
        <f>Export!B156</f>
        <v>Aruba</v>
      </c>
      <c r="E157">
        <f t="shared" si="23"/>
        <v>25.408000000000001</v>
      </c>
      <c r="F157" t="str">
        <f>Import!A156</f>
        <v>474</v>
      </c>
      <c r="G157" t="str">
        <f>Import!B156</f>
        <v>Aruba</v>
      </c>
    </row>
    <row r="158" spans="1:7" x14ac:dyDescent="0.25">
      <c r="A158">
        <f t="shared" si="22"/>
        <v>513.947</v>
      </c>
      <c r="B158" t="str">
        <f>Export!A157</f>
        <v>475</v>
      </c>
      <c r="C158" t="str">
        <f>Export!B157</f>
        <v>Curacao</v>
      </c>
      <c r="E158">
        <f t="shared" si="23"/>
        <v>4.3849999999999998</v>
      </c>
      <c r="F158" t="str">
        <f>Import!A157</f>
        <v>475</v>
      </c>
      <c r="G158" t="str">
        <f>Import!B157</f>
        <v>Curacao</v>
      </c>
    </row>
    <row r="159" spans="1:7" x14ac:dyDescent="0.25">
      <c r="A159">
        <f t="shared" si="22"/>
        <v>270.94099999999997</v>
      </c>
      <c r="B159" t="str">
        <f>Export!A158</f>
        <v>477</v>
      </c>
      <c r="C159" t="str">
        <f>Export!B158</f>
        <v>Bonaire, St.Eust.u.Saba</v>
      </c>
      <c r="E159">
        <f t="shared" si="23"/>
        <v>0</v>
      </c>
      <c r="F159" t="str">
        <f>Import!A158</f>
        <v>477</v>
      </c>
      <c r="G159" t="str">
        <f>Import!B158</f>
        <v>Bonaire, St.Eust.u.Saba</v>
      </c>
    </row>
    <row r="160" spans="1:7" x14ac:dyDescent="0.25">
      <c r="A160">
        <f t="shared" si="22"/>
        <v>0</v>
      </c>
      <c r="B160" t="str">
        <f>Export!A159</f>
        <v>478</v>
      </c>
      <c r="C160" t="str">
        <f>Export!B159</f>
        <v>Niederländische Antillen</v>
      </c>
      <c r="E160">
        <f t="shared" si="23"/>
        <v>0</v>
      </c>
      <c r="F160" t="str">
        <f>Import!A159</f>
        <v>478</v>
      </c>
      <c r="G160" t="str">
        <f>Import!B159</f>
        <v>Niederländische Antillen</v>
      </c>
    </row>
    <row r="161" spans="1:7" x14ac:dyDescent="0.25">
      <c r="A161">
        <f t="shared" si="22"/>
        <v>3168.9380000000001</v>
      </c>
      <c r="B161" t="str">
        <f>Export!A160</f>
        <v>479</v>
      </c>
      <c r="C161" t="str">
        <f>Export!B160</f>
        <v>St. Martin (niederl.Teil)</v>
      </c>
      <c r="E161">
        <f t="shared" si="23"/>
        <v>34.345999999999997</v>
      </c>
      <c r="F161" t="str">
        <f>Import!A160</f>
        <v>479</v>
      </c>
      <c r="G161" t="str">
        <f>Import!B160</f>
        <v>St. Martin (niederl.Teil)</v>
      </c>
    </row>
    <row r="162" spans="1:7" x14ac:dyDescent="0.25">
      <c r="A162">
        <f t="shared" si="22"/>
        <v>126953.844</v>
      </c>
      <c r="B162" t="str">
        <f>Export!A161</f>
        <v>480</v>
      </c>
      <c r="C162" t="str">
        <f>Export!B161</f>
        <v>Kolumbien</v>
      </c>
      <c r="E162">
        <f t="shared" si="23"/>
        <v>124556.345</v>
      </c>
      <c r="F162" t="str">
        <f>Import!A161</f>
        <v>480</v>
      </c>
      <c r="G162" t="str">
        <f>Import!B161</f>
        <v>Kolumbien</v>
      </c>
    </row>
    <row r="163" spans="1:7" x14ac:dyDescent="0.25">
      <c r="A163">
        <f t="shared" si="22"/>
        <v>5232.3689999999997</v>
      </c>
      <c r="B163" t="str">
        <f>Export!A162</f>
        <v>484</v>
      </c>
      <c r="C163" t="str">
        <f>Export!B162</f>
        <v>Venezuela</v>
      </c>
      <c r="E163">
        <f t="shared" si="23"/>
        <v>2221.5439999999999</v>
      </c>
      <c r="F163" t="str">
        <f>Import!A162</f>
        <v>484</v>
      </c>
      <c r="G163" t="str">
        <f>Import!B162</f>
        <v>Venezuela</v>
      </c>
    </row>
    <row r="164" spans="1:7" x14ac:dyDescent="0.25">
      <c r="A164">
        <f t="shared" si="22"/>
        <v>4171.3469999999998</v>
      </c>
      <c r="B164" t="str">
        <f>Export!A163</f>
        <v>488</v>
      </c>
      <c r="C164" t="str">
        <f>Export!B163</f>
        <v>Guyana</v>
      </c>
      <c r="E164">
        <f t="shared" si="23"/>
        <v>382583.66100000002</v>
      </c>
      <c r="F164" t="str">
        <f>Import!A163</f>
        <v>488</v>
      </c>
      <c r="G164" t="str">
        <f>Import!B163</f>
        <v>Guyana</v>
      </c>
    </row>
    <row r="165" spans="1:7" x14ac:dyDescent="0.25">
      <c r="A165">
        <f t="shared" si="22"/>
        <v>871.50099999999998</v>
      </c>
      <c r="B165" t="str">
        <f>Export!A164</f>
        <v>492</v>
      </c>
      <c r="C165" t="str">
        <f>Export!B164</f>
        <v>Suriname</v>
      </c>
      <c r="E165">
        <f t="shared" si="23"/>
        <v>169.458</v>
      </c>
      <c r="F165" t="str">
        <f>Import!A164</f>
        <v>492</v>
      </c>
      <c r="G165" t="str">
        <f>Import!B164</f>
        <v>Suriname</v>
      </c>
    </row>
    <row r="166" spans="1:7" x14ac:dyDescent="0.25">
      <c r="A166">
        <f t="shared" si="22"/>
        <v>0</v>
      </c>
      <c r="B166" t="str">
        <f>Export!A165</f>
        <v>496</v>
      </c>
      <c r="C166" t="str">
        <f>Export!B165</f>
        <v>Französisch-Guayana</v>
      </c>
      <c r="E166">
        <f t="shared" si="23"/>
        <v>0</v>
      </c>
      <c r="F166" t="str">
        <f>Import!A165</f>
        <v>496</v>
      </c>
      <c r="G166" t="str">
        <f>Import!B165</f>
        <v>Französisch-Guayana</v>
      </c>
    </row>
    <row r="167" spans="1:7" x14ac:dyDescent="0.25">
      <c r="A167">
        <f t="shared" si="22"/>
        <v>60642.006000000001</v>
      </c>
      <c r="B167" t="str">
        <f>Export!A166</f>
        <v>500</v>
      </c>
      <c r="C167" t="str">
        <f>Export!B166</f>
        <v>Ecuador</v>
      </c>
      <c r="E167">
        <f t="shared" si="23"/>
        <v>76162.815000000002</v>
      </c>
      <c r="F167" t="str">
        <f>Import!A166</f>
        <v>500</v>
      </c>
      <c r="G167" t="str">
        <f>Import!B166</f>
        <v>Ecuador</v>
      </c>
    </row>
    <row r="168" spans="1:7" x14ac:dyDescent="0.25">
      <c r="A168">
        <f t="shared" si="22"/>
        <v>74270.892999999996</v>
      </c>
      <c r="B168" t="str">
        <f>Export!A167</f>
        <v>504</v>
      </c>
      <c r="C168" t="str">
        <f>Export!B167</f>
        <v>Peru</v>
      </c>
      <c r="E168">
        <f t="shared" si="23"/>
        <v>112931.20600000001</v>
      </c>
      <c r="F168" t="str">
        <f>Import!A167</f>
        <v>504</v>
      </c>
      <c r="G168" t="str">
        <f>Import!B167</f>
        <v>Peru</v>
      </c>
    </row>
    <row r="169" spans="1:7" x14ac:dyDescent="0.25">
      <c r="A169">
        <f t="shared" si="22"/>
        <v>1028537.464</v>
      </c>
      <c r="B169" t="str">
        <f>Export!A168</f>
        <v>508</v>
      </c>
      <c r="C169" t="str">
        <f>Export!B168</f>
        <v>Brasilien</v>
      </c>
      <c r="E169">
        <f t="shared" si="23"/>
        <v>380284.93300000002</v>
      </c>
      <c r="F169" t="str">
        <f>Import!A168</f>
        <v>508</v>
      </c>
      <c r="G169" t="str">
        <f>Import!B168</f>
        <v>Brasilien</v>
      </c>
    </row>
    <row r="170" spans="1:7" x14ac:dyDescent="0.25">
      <c r="A170">
        <f t="shared" si="22"/>
        <v>248691.58</v>
      </c>
      <c r="B170" t="str">
        <f>Export!A169</f>
        <v>512</v>
      </c>
      <c r="C170" t="str">
        <f>Export!B169</f>
        <v>Chile</v>
      </c>
      <c r="E170">
        <f t="shared" si="23"/>
        <v>321787.87300000002</v>
      </c>
      <c r="F170" t="str">
        <f>Import!A169</f>
        <v>512</v>
      </c>
      <c r="G170" t="str">
        <f>Import!B169</f>
        <v>Chile</v>
      </c>
    </row>
    <row r="171" spans="1:7" x14ac:dyDescent="0.25">
      <c r="A171">
        <f t="shared" si="22"/>
        <v>12508.112999999999</v>
      </c>
      <c r="B171" t="str">
        <f>Export!A170</f>
        <v>516</v>
      </c>
      <c r="C171" t="str">
        <f>Export!B170</f>
        <v>Bolivien</v>
      </c>
      <c r="E171">
        <f t="shared" si="23"/>
        <v>32974.756999999998</v>
      </c>
      <c r="F171" t="str">
        <f>Import!A170</f>
        <v>516</v>
      </c>
      <c r="G171" t="str">
        <f>Import!B170</f>
        <v>Bolivien</v>
      </c>
    </row>
    <row r="172" spans="1:7" x14ac:dyDescent="0.25">
      <c r="A172">
        <f t="shared" si="22"/>
        <v>18309.196</v>
      </c>
      <c r="B172" t="str">
        <f>Export!A171</f>
        <v>520</v>
      </c>
      <c r="C172" t="str">
        <f>Export!B171</f>
        <v>Paraguay</v>
      </c>
      <c r="E172">
        <f t="shared" si="23"/>
        <v>2823.0419999999999</v>
      </c>
      <c r="F172" t="str">
        <f>Import!A171</f>
        <v>520</v>
      </c>
      <c r="G172" t="str">
        <f>Import!B171</f>
        <v>Paraguay</v>
      </c>
    </row>
    <row r="173" spans="1:7" x14ac:dyDescent="0.25">
      <c r="A173">
        <f t="shared" si="22"/>
        <v>52170.576999999997</v>
      </c>
      <c r="B173" t="str">
        <f>Export!A172</f>
        <v>524</v>
      </c>
      <c r="C173" t="str">
        <f>Export!B172</f>
        <v>Uruguay</v>
      </c>
      <c r="E173">
        <f t="shared" si="23"/>
        <v>73342.055999999997</v>
      </c>
      <c r="F173" t="str">
        <f>Import!A172</f>
        <v>524</v>
      </c>
      <c r="G173" t="str">
        <f>Import!B172</f>
        <v>Uruguay</v>
      </c>
    </row>
    <row r="174" spans="1:7" x14ac:dyDescent="0.25">
      <c r="A174">
        <f t="shared" si="22"/>
        <v>173649.891</v>
      </c>
      <c r="B174" t="str">
        <f>Export!A173</f>
        <v>528</v>
      </c>
      <c r="C174" t="str">
        <f>Export!B173</f>
        <v>Argentinien</v>
      </c>
      <c r="E174">
        <f t="shared" si="23"/>
        <v>86400.92</v>
      </c>
      <c r="F174" t="str">
        <f>Import!A173</f>
        <v>528</v>
      </c>
      <c r="G174" t="str">
        <f>Import!B173</f>
        <v>Argentinien</v>
      </c>
    </row>
    <row r="175" spans="1:7" x14ac:dyDescent="0.25">
      <c r="A175">
        <f t="shared" si="22"/>
        <v>16.911999999999999</v>
      </c>
      <c r="B175" t="str">
        <f>Export!A174</f>
        <v>529</v>
      </c>
      <c r="C175" t="str">
        <f>Export!B174</f>
        <v>Falklandinseln</v>
      </c>
      <c r="E175">
        <f t="shared" si="23"/>
        <v>711.78800000000001</v>
      </c>
      <c r="F175" t="str">
        <f>Import!A174</f>
        <v>529</v>
      </c>
      <c r="G175" t="str">
        <f>Import!B174</f>
        <v>Falklandinseln</v>
      </c>
    </row>
    <row r="176" spans="1:7" x14ac:dyDescent="0.25">
      <c r="A176">
        <f t="shared" si="22"/>
        <v>87090.671000000002</v>
      </c>
      <c r="B176" t="str">
        <f>Export!A175</f>
        <v>600</v>
      </c>
      <c r="C176" t="str">
        <f>Export!B175</f>
        <v>Zypern</v>
      </c>
      <c r="E176">
        <f t="shared" si="23"/>
        <v>20338.490000000002</v>
      </c>
      <c r="F176" t="str">
        <f>Import!A175</f>
        <v>600</v>
      </c>
      <c r="G176" t="str">
        <f>Import!B175</f>
        <v>Zypern</v>
      </c>
    </row>
    <row r="177" spans="1:7" x14ac:dyDescent="0.25">
      <c r="A177">
        <f t="shared" si="22"/>
        <v>26924.65</v>
      </c>
      <c r="B177" t="str">
        <f>Export!A176</f>
        <v>604</v>
      </c>
      <c r="C177" t="str">
        <f>Export!B176</f>
        <v>Libanon</v>
      </c>
      <c r="E177">
        <f t="shared" si="23"/>
        <v>2983.0819999999999</v>
      </c>
      <c r="F177" t="str">
        <f>Import!A176</f>
        <v>604</v>
      </c>
      <c r="G177" t="str">
        <f>Import!B176</f>
        <v>Libanon</v>
      </c>
    </row>
    <row r="178" spans="1:7" x14ac:dyDescent="0.25">
      <c r="A178">
        <f t="shared" si="22"/>
        <v>5084.3069999999998</v>
      </c>
      <c r="B178" t="str">
        <f>Export!A177</f>
        <v>608</v>
      </c>
      <c r="C178" t="str">
        <f>Export!B177</f>
        <v>Syrien</v>
      </c>
      <c r="E178">
        <f t="shared" si="23"/>
        <v>606.101</v>
      </c>
      <c r="F178" t="str">
        <f>Import!A177</f>
        <v>608</v>
      </c>
      <c r="G178" t="str">
        <f>Import!B177</f>
        <v>Syrien</v>
      </c>
    </row>
    <row r="179" spans="1:7" x14ac:dyDescent="0.25">
      <c r="A179">
        <f t="shared" si="22"/>
        <v>101997.942</v>
      </c>
      <c r="B179" t="str">
        <f>Export!A178</f>
        <v>612</v>
      </c>
      <c r="C179" t="str">
        <f>Export!B178</f>
        <v>Irak</v>
      </c>
      <c r="E179">
        <f t="shared" si="23"/>
        <v>373975.95799999998</v>
      </c>
      <c r="F179" t="str">
        <f>Import!A178</f>
        <v>612</v>
      </c>
      <c r="G179" t="str">
        <f>Import!B178</f>
        <v>Irak</v>
      </c>
    </row>
    <row r="180" spans="1:7" x14ac:dyDescent="0.25">
      <c r="A180">
        <f t="shared" si="22"/>
        <v>158980.095</v>
      </c>
      <c r="B180" t="str">
        <f>Export!A179</f>
        <v>616</v>
      </c>
      <c r="C180" t="str">
        <f>Export!B179</f>
        <v>Iran</v>
      </c>
      <c r="E180">
        <f t="shared" si="23"/>
        <v>15182.745000000001</v>
      </c>
      <c r="F180" t="str">
        <f>Import!A179</f>
        <v>616</v>
      </c>
      <c r="G180" t="str">
        <f>Import!B179</f>
        <v>Iran</v>
      </c>
    </row>
    <row r="181" spans="1:7" x14ac:dyDescent="0.25">
      <c r="A181">
        <f t="shared" si="22"/>
        <v>540153.62699999998</v>
      </c>
      <c r="B181" t="str">
        <f>Export!A180</f>
        <v>624</v>
      </c>
      <c r="C181" t="str">
        <f>Export!B180</f>
        <v>Israel</v>
      </c>
      <c r="E181">
        <f t="shared" si="23"/>
        <v>338510.84899999999</v>
      </c>
      <c r="F181" t="str">
        <f>Import!A180</f>
        <v>624</v>
      </c>
      <c r="G181" t="str">
        <f>Import!B180</f>
        <v>Israel</v>
      </c>
    </row>
    <row r="182" spans="1:7" x14ac:dyDescent="0.25">
      <c r="A182">
        <f t="shared" si="22"/>
        <v>3649.95</v>
      </c>
      <c r="B182" t="str">
        <f>Export!A181</f>
        <v>625</v>
      </c>
      <c r="C182" t="str">
        <f>Export!B181</f>
        <v>Besetzte palästin.Gebiete</v>
      </c>
      <c r="E182">
        <f t="shared" si="23"/>
        <v>452.55799999999999</v>
      </c>
      <c r="F182" t="str">
        <f>Import!A181</f>
        <v>625</v>
      </c>
      <c r="G182" t="str">
        <f>Import!B181</f>
        <v>Besetzte palästin.Gebiete</v>
      </c>
    </row>
    <row r="183" spans="1:7" x14ac:dyDescent="0.25">
      <c r="A183">
        <f t="shared" si="22"/>
        <v>344.255</v>
      </c>
      <c r="B183" t="str">
        <f>Export!A182</f>
        <v>626</v>
      </c>
      <c r="C183" t="str">
        <f>Export!B182</f>
        <v>Timor-Leste</v>
      </c>
      <c r="E183">
        <f t="shared" si="23"/>
        <v>2.8069999999999999</v>
      </c>
      <c r="F183" t="str">
        <f>Import!A182</f>
        <v>626</v>
      </c>
      <c r="G183" t="str">
        <f>Import!B182</f>
        <v>Timor-Leste</v>
      </c>
    </row>
    <row r="184" spans="1:7" x14ac:dyDescent="0.25">
      <c r="A184">
        <f t="shared" si="22"/>
        <v>47578.444000000003</v>
      </c>
      <c r="B184" t="str">
        <f>Export!A183</f>
        <v>628</v>
      </c>
      <c r="C184" t="str">
        <f>Export!B183</f>
        <v>Jordanien</v>
      </c>
      <c r="E184">
        <f t="shared" si="23"/>
        <v>8419.3259999999991</v>
      </c>
      <c r="F184" t="str">
        <f>Import!A183</f>
        <v>628</v>
      </c>
      <c r="G184" t="str">
        <f>Import!B183</f>
        <v>Jordanien</v>
      </c>
    </row>
    <row r="185" spans="1:7" x14ac:dyDescent="0.25">
      <c r="A185">
        <f t="shared" si="22"/>
        <v>537812.15899999999</v>
      </c>
      <c r="B185" t="str">
        <f>Export!A184</f>
        <v>632</v>
      </c>
      <c r="C185" t="str">
        <f>Export!B184</f>
        <v>Saudi-Arabien</v>
      </c>
      <c r="E185">
        <f t="shared" si="23"/>
        <v>442351.15500000003</v>
      </c>
      <c r="F185" t="str">
        <f>Import!A184</f>
        <v>632</v>
      </c>
      <c r="G185" t="str">
        <f>Import!B184</f>
        <v>Saudi-Arabien</v>
      </c>
    </row>
    <row r="186" spans="1:7" x14ac:dyDescent="0.25">
      <c r="A186">
        <f t="shared" si="22"/>
        <v>66164.627999999997</v>
      </c>
      <c r="B186" t="str">
        <f>Export!A185</f>
        <v>636</v>
      </c>
      <c r="C186" t="str">
        <f>Export!B185</f>
        <v>Kuwait</v>
      </c>
      <c r="E186">
        <f t="shared" si="23"/>
        <v>3802.0630000000001</v>
      </c>
      <c r="F186" t="str">
        <f>Import!A185</f>
        <v>636</v>
      </c>
      <c r="G186" t="str">
        <f>Import!B185</f>
        <v>Kuwait</v>
      </c>
    </row>
    <row r="187" spans="1:7" x14ac:dyDescent="0.25">
      <c r="A187">
        <f t="shared" si="22"/>
        <v>35412.660000000003</v>
      </c>
      <c r="B187" t="str">
        <f>Export!A186</f>
        <v>640</v>
      </c>
      <c r="C187" t="str">
        <f>Export!B186</f>
        <v>Bahrain</v>
      </c>
      <c r="E187">
        <f t="shared" si="23"/>
        <v>64209.233</v>
      </c>
      <c r="F187" t="str">
        <f>Import!A186</f>
        <v>640</v>
      </c>
      <c r="G187" t="str">
        <f>Import!B186</f>
        <v>Bahrain</v>
      </c>
    </row>
    <row r="188" spans="1:7" x14ac:dyDescent="0.25">
      <c r="A188">
        <f t="shared" si="22"/>
        <v>57674.99</v>
      </c>
      <c r="B188" t="str">
        <f>Export!A187</f>
        <v>644</v>
      </c>
      <c r="C188" t="str">
        <f>Export!B187</f>
        <v>Katar</v>
      </c>
      <c r="E188">
        <f t="shared" si="23"/>
        <v>18091.405999999999</v>
      </c>
      <c r="F188" t="str">
        <f>Import!A187</f>
        <v>644</v>
      </c>
      <c r="G188" t="str">
        <f>Import!B187</f>
        <v>Katar</v>
      </c>
    </row>
    <row r="189" spans="1:7" x14ac:dyDescent="0.25">
      <c r="A189">
        <f t="shared" si="22"/>
        <v>657695.28399999999</v>
      </c>
      <c r="B189" t="str">
        <f>Export!A188</f>
        <v>647</v>
      </c>
      <c r="C189" t="str">
        <f>Export!B188</f>
        <v>Vereinigte Arab.Emirate</v>
      </c>
      <c r="E189">
        <f t="shared" si="23"/>
        <v>235943.09</v>
      </c>
      <c r="F189" t="str">
        <f>Import!A188</f>
        <v>647</v>
      </c>
      <c r="G189" t="str">
        <f>Import!B188</f>
        <v>Vereinigte Arab.Emirate</v>
      </c>
    </row>
    <row r="190" spans="1:7" x14ac:dyDescent="0.25">
      <c r="A190">
        <f t="shared" si="22"/>
        <v>58443.957000000002</v>
      </c>
      <c r="B190" t="str">
        <f>Export!A189</f>
        <v>649</v>
      </c>
      <c r="C190" t="str">
        <f>Export!B189</f>
        <v>Oman</v>
      </c>
      <c r="E190">
        <f t="shared" si="23"/>
        <v>5625.15</v>
      </c>
      <c r="F190" t="str">
        <f>Import!A189</f>
        <v>649</v>
      </c>
      <c r="G190" t="str">
        <f>Import!B189</f>
        <v>Oman</v>
      </c>
    </row>
    <row r="191" spans="1:7" x14ac:dyDescent="0.25">
      <c r="A191">
        <f t="shared" si="22"/>
        <v>7607.2510000000002</v>
      </c>
      <c r="B191" t="str">
        <f>Export!A190</f>
        <v>653</v>
      </c>
      <c r="C191" t="str">
        <f>Export!B190</f>
        <v>Jemen</v>
      </c>
      <c r="E191">
        <f t="shared" si="23"/>
        <v>43.673999999999999</v>
      </c>
      <c r="F191" t="str">
        <f>Import!A190</f>
        <v>653</v>
      </c>
      <c r="G191" t="str">
        <f>Import!B190</f>
        <v>Jemen</v>
      </c>
    </row>
    <row r="192" spans="1:7" x14ac:dyDescent="0.25">
      <c r="A192">
        <f t="shared" si="22"/>
        <v>12195.324000000001</v>
      </c>
      <c r="B192" t="str">
        <f>Export!A191</f>
        <v>660</v>
      </c>
      <c r="C192" t="str">
        <f>Export!B191</f>
        <v>Afghanistan</v>
      </c>
      <c r="E192">
        <f t="shared" si="23"/>
        <v>2041.751</v>
      </c>
      <c r="F192" t="str">
        <f>Import!A191</f>
        <v>660</v>
      </c>
      <c r="G192" t="str">
        <f>Import!B191</f>
        <v>Afghanistan</v>
      </c>
    </row>
    <row r="193" spans="1:7" x14ac:dyDescent="0.25">
      <c r="A193">
        <f t="shared" si="22"/>
        <v>74805.827999999994</v>
      </c>
      <c r="B193" t="str">
        <f>Export!A192</f>
        <v>662</v>
      </c>
      <c r="C193" t="str">
        <f>Export!B192</f>
        <v>Pakistan</v>
      </c>
      <c r="E193">
        <f t="shared" si="23"/>
        <v>236175.64300000001</v>
      </c>
      <c r="F193" t="str">
        <f>Import!A192</f>
        <v>662</v>
      </c>
      <c r="G193" t="str">
        <f>Import!B192</f>
        <v>Pakistan</v>
      </c>
    </row>
    <row r="194" spans="1:7" x14ac:dyDescent="0.25">
      <c r="A194">
        <f t="shared" si="22"/>
        <v>1277783.57</v>
      </c>
      <c r="B194" t="str">
        <f>Export!A193</f>
        <v>664</v>
      </c>
      <c r="C194" t="str">
        <f>Export!B193</f>
        <v>Indien</v>
      </c>
      <c r="E194">
        <f t="shared" si="23"/>
        <v>1390554.0530000001</v>
      </c>
      <c r="F194" t="str">
        <f>Import!A193</f>
        <v>664</v>
      </c>
      <c r="G194" t="str">
        <f>Import!B193</f>
        <v>Indien</v>
      </c>
    </row>
    <row r="195" spans="1:7" x14ac:dyDescent="0.25">
      <c r="A195">
        <f t="shared" ref="A195:A258" si="24">VLOOKUP(C195,Export_Matrix,$A$1,FALSE)/Einheit_Wert</f>
        <v>58926.826000000001</v>
      </c>
      <c r="B195" t="str">
        <f>Export!A194</f>
        <v>666</v>
      </c>
      <c r="C195" t="str">
        <f>Export!B194</f>
        <v>Bangladesch</v>
      </c>
      <c r="E195">
        <f t="shared" ref="E195:E258" si="25">VLOOKUP(G195,Import_Matrix,$A$1,FALSE)/Einheit_Wert</f>
        <v>969200.07799999998</v>
      </c>
      <c r="F195" t="str">
        <f>Import!A194</f>
        <v>666</v>
      </c>
      <c r="G195" t="str">
        <f>Import!B194</f>
        <v>Bangladesch</v>
      </c>
    </row>
    <row r="196" spans="1:7" x14ac:dyDescent="0.25">
      <c r="A196">
        <f t="shared" si="24"/>
        <v>9405.3590000000004</v>
      </c>
      <c r="B196" t="str">
        <f>Export!A195</f>
        <v>667</v>
      </c>
      <c r="C196" t="str">
        <f>Export!B195</f>
        <v>Malediven</v>
      </c>
      <c r="E196">
        <f t="shared" si="25"/>
        <v>2188.4850000000001</v>
      </c>
      <c r="F196" t="str">
        <f>Import!A195</f>
        <v>667</v>
      </c>
      <c r="G196" t="str">
        <f>Import!B195</f>
        <v>Malediven</v>
      </c>
    </row>
    <row r="197" spans="1:7" x14ac:dyDescent="0.25">
      <c r="A197">
        <f t="shared" si="24"/>
        <v>49739.656999999999</v>
      </c>
      <c r="B197" t="str">
        <f>Export!A196</f>
        <v>669</v>
      </c>
      <c r="C197" t="str">
        <f>Export!B196</f>
        <v>Sri Lanka</v>
      </c>
      <c r="E197">
        <f t="shared" si="25"/>
        <v>118717.27499999999</v>
      </c>
      <c r="F197" t="str">
        <f>Import!A196</f>
        <v>669</v>
      </c>
      <c r="G197" t="str">
        <f>Import!B196</f>
        <v>Sri Lanka</v>
      </c>
    </row>
    <row r="198" spans="1:7" x14ac:dyDescent="0.25">
      <c r="A198">
        <f t="shared" si="24"/>
        <v>8265.7720000000008</v>
      </c>
      <c r="B198" t="str">
        <f>Export!A197</f>
        <v>672</v>
      </c>
      <c r="C198" t="str">
        <f>Export!B197</f>
        <v>Nepal</v>
      </c>
      <c r="E198">
        <f t="shared" si="25"/>
        <v>4422.04</v>
      </c>
      <c r="F198" t="str">
        <f>Import!A197</f>
        <v>672</v>
      </c>
      <c r="G198" t="str">
        <f>Import!B197</f>
        <v>Nepal</v>
      </c>
    </row>
    <row r="199" spans="1:7" x14ac:dyDescent="0.25">
      <c r="A199">
        <f t="shared" si="24"/>
        <v>2901.7950000000001</v>
      </c>
      <c r="B199" t="str">
        <f>Export!A198</f>
        <v>675</v>
      </c>
      <c r="C199" t="str">
        <f>Export!B198</f>
        <v>Bhutan</v>
      </c>
      <c r="E199">
        <f t="shared" si="25"/>
        <v>876.26499999999999</v>
      </c>
      <c r="F199" t="str">
        <f>Import!A198</f>
        <v>675</v>
      </c>
      <c r="G199" t="str">
        <f>Import!B198</f>
        <v>Bhutan</v>
      </c>
    </row>
    <row r="200" spans="1:7" x14ac:dyDescent="0.25">
      <c r="A200">
        <f t="shared" si="24"/>
        <v>10473.891</v>
      </c>
      <c r="B200" t="str">
        <f>Export!A199</f>
        <v>676</v>
      </c>
      <c r="C200" t="str">
        <f>Export!B199</f>
        <v>Myanmar</v>
      </c>
      <c r="E200">
        <f t="shared" si="25"/>
        <v>171400.03899999999</v>
      </c>
      <c r="F200" t="str">
        <f>Import!A199</f>
        <v>676</v>
      </c>
      <c r="G200" t="str">
        <f>Import!B199</f>
        <v>Myanmar</v>
      </c>
    </row>
    <row r="201" spans="1:7" x14ac:dyDescent="0.25">
      <c r="A201">
        <f t="shared" si="24"/>
        <v>280658.50799999997</v>
      </c>
      <c r="B201" t="str">
        <f>Export!A200</f>
        <v>680</v>
      </c>
      <c r="C201" t="str">
        <f>Export!B200</f>
        <v>Thailand</v>
      </c>
      <c r="E201">
        <f t="shared" si="25"/>
        <v>824943.80500000005</v>
      </c>
      <c r="F201" t="str">
        <f>Import!A200</f>
        <v>680</v>
      </c>
      <c r="G201" t="str">
        <f>Import!B200</f>
        <v>Thailand</v>
      </c>
    </row>
    <row r="202" spans="1:7" x14ac:dyDescent="0.25">
      <c r="A202">
        <f t="shared" si="24"/>
        <v>5078.1660000000002</v>
      </c>
      <c r="B202" t="str">
        <f>Export!A201</f>
        <v>684</v>
      </c>
      <c r="C202" t="str">
        <f>Export!B201</f>
        <v>Laos</v>
      </c>
      <c r="E202">
        <f t="shared" si="25"/>
        <v>19637.866999999998</v>
      </c>
      <c r="F202" t="str">
        <f>Import!A201</f>
        <v>684</v>
      </c>
      <c r="G202" t="str">
        <f>Import!B201</f>
        <v>Laos</v>
      </c>
    </row>
    <row r="203" spans="1:7" x14ac:dyDescent="0.25">
      <c r="A203">
        <f t="shared" si="24"/>
        <v>205539.70300000001</v>
      </c>
      <c r="B203" t="str">
        <f>Export!A202</f>
        <v>690</v>
      </c>
      <c r="C203" t="str">
        <f>Export!B202</f>
        <v>Vietnam</v>
      </c>
      <c r="E203">
        <f t="shared" si="25"/>
        <v>1401761.2990000001</v>
      </c>
      <c r="F203" t="str">
        <f>Import!A202</f>
        <v>690</v>
      </c>
      <c r="G203" t="str">
        <f>Import!B202</f>
        <v>Vietnam</v>
      </c>
    </row>
    <row r="204" spans="1:7" x14ac:dyDescent="0.25">
      <c r="A204">
        <f t="shared" si="24"/>
        <v>3205.8490000000002</v>
      </c>
      <c r="B204" t="str">
        <f>Export!A203</f>
        <v>696</v>
      </c>
      <c r="C204" t="str">
        <f>Export!B203</f>
        <v>Kambodscha</v>
      </c>
      <c r="E204">
        <f t="shared" si="25"/>
        <v>279128.446</v>
      </c>
      <c r="F204" t="str">
        <f>Import!A203</f>
        <v>696</v>
      </c>
      <c r="G204" t="str">
        <f>Import!B203</f>
        <v>Kambodscha</v>
      </c>
    </row>
    <row r="205" spans="1:7" x14ac:dyDescent="0.25">
      <c r="A205">
        <f t="shared" si="24"/>
        <v>331248.49599999998</v>
      </c>
      <c r="B205" t="str">
        <f>Export!A204</f>
        <v>700</v>
      </c>
      <c r="C205" t="str">
        <f>Export!B204</f>
        <v>Indonesien</v>
      </c>
      <c r="E205">
        <f t="shared" si="25"/>
        <v>388969.63199999998</v>
      </c>
      <c r="F205" t="str">
        <f>Import!A204</f>
        <v>700</v>
      </c>
      <c r="G205" t="str">
        <f>Import!B204</f>
        <v>Indonesien</v>
      </c>
    </row>
    <row r="206" spans="1:7" x14ac:dyDescent="0.25">
      <c r="A206">
        <f t="shared" si="24"/>
        <v>592429.38899999997</v>
      </c>
      <c r="B206" t="str">
        <f>Export!A205</f>
        <v>701</v>
      </c>
      <c r="C206" t="str">
        <f>Export!B205</f>
        <v>Malaysia</v>
      </c>
      <c r="E206">
        <f t="shared" si="25"/>
        <v>583171.13600000006</v>
      </c>
      <c r="F206" t="str">
        <f>Import!A205</f>
        <v>701</v>
      </c>
      <c r="G206" t="str">
        <f>Import!B205</f>
        <v>Malaysia</v>
      </c>
    </row>
    <row r="207" spans="1:7" x14ac:dyDescent="0.25">
      <c r="A207">
        <f t="shared" si="24"/>
        <v>1002.989</v>
      </c>
      <c r="B207" t="str">
        <f>Export!A206</f>
        <v>703</v>
      </c>
      <c r="C207" t="str">
        <f>Export!B206</f>
        <v>Brunei</v>
      </c>
      <c r="E207">
        <f t="shared" si="25"/>
        <v>175.953</v>
      </c>
      <c r="F207" t="str">
        <f>Import!A206</f>
        <v>703</v>
      </c>
      <c r="G207" t="str">
        <f>Import!B206</f>
        <v>Brunei</v>
      </c>
    </row>
    <row r="208" spans="1:7" x14ac:dyDescent="0.25">
      <c r="A208">
        <f t="shared" si="24"/>
        <v>469207.27299999999</v>
      </c>
      <c r="B208" t="str">
        <f>Export!A207</f>
        <v>706</v>
      </c>
      <c r="C208" t="str">
        <f>Export!B207</f>
        <v>Singapur</v>
      </c>
      <c r="E208">
        <f t="shared" si="25"/>
        <v>418704.53700000001</v>
      </c>
      <c r="F208" t="str">
        <f>Import!A207</f>
        <v>706</v>
      </c>
      <c r="G208" t="str">
        <f>Import!B207</f>
        <v>Singapur</v>
      </c>
    </row>
    <row r="209" spans="1:7" x14ac:dyDescent="0.25">
      <c r="A209">
        <f t="shared" si="24"/>
        <v>170278.60800000001</v>
      </c>
      <c r="B209" t="str">
        <f>Export!A208</f>
        <v>708</v>
      </c>
      <c r="C209" t="str">
        <f>Export!B208</f>
        <v>Philippinen</v>
      </c>
      <c r="E209">
        <f t="shared" si="25"/>
        <v>311651.02100000001</v>
      </c>
      <c r="F209" t="str">
        <f>Import!A208</f>
        <v>708</v>
      </c>
      <c r="G209" t="str">
        <f>Import!B208</f>
        <v>Philippinen</v>
      </c>
    </row>
    <row r="210" spans="1:7" x14ac:dyDescent="0.25">
      <c r="A210">
        <f t="shared" si="24"/>
        <v>36695.457000000002</v>
      </c>
      <c r="B210" t="str">
        <f>Export!A209</f>
        <v>716</v>
      </c>
      <c r="C210" t="str">
        <f>Export!B209</f>
        <v>Mongolei</v>
      </c>
      <c r="E210">
        <f t="shared" si="25"/>
        <v>5393.4129999999996</v>
      </c>
      <c r="F210" t="str">
        <f>Import!A209</f>
        <v>716</v>
      </c>
      <c r="G210" t="str">
        <f>Import!B209</f>
        <v>Mongolei</v>
      </c>
    </row>
    <row r="211" spans="1:7" x14ac:dyDescent="0.25">
      <c r="A211">
        <f t="shared" si="24"/>
        <v>5057044.6500000004</v>
      </c>
      <c r="B211" t="str">
        <f>Export!A210</f>
        <v>720</v>
      </c>
      <c r="C211" t="str">
        <f>Export!B210</f>
        <v>China</v>
      </c>
      <c r="E211">
        <f t="shared" si="25"/>
        <v>15162034.346000001</v>
      </c>
      <c r="F211" t="str">
        <f>Import!A210</f>
        <v>720</v>
      </c>
      <c r="G211" t="str">
        <f>Import!B210</f>
        <v>China</v>
      </c>
    </row>
    <row r="212" spans="1:7" x14ac:dyDescent="0.25">
      <c r="A212">
        <f t="shared" si="24"/>
        <v>0</v>
      </c>
      <c r="B212" t="str">
        <f>Export!A211</f>
        <v>724</v>
      </c>
      <c r="C212" t="str">
        <f>Export!B211</f>
        <v>Nordkorea</v>
      </c>
      <c r="E212">
        <f t="shared" si="25"/>
        <v>10091.076999999999</v>
      </c>
      <c r="F212" t="str">
        <f>Import!A211</f>
        <v>724</v>
      </c>
      <c r="G212" t="str">
        <f>Import!B211</f>
        <v>Nordkorea</v>
      </c>
    </row>
    <row r="213" spans="1:7" x14ac:dyDescent="0.25">
      <c r="A213">
        <f t="shared" si="24"/>
        <v>1451741.6529999999</v>
      </c>
      <c r="B213" t="str">
        <f>Export!A212</f>
        <v>728</v>
      </c>
      <c r="C213" t="str">
        <f>Export!B212</f>
        <v>Südkorea</v>
      </c>
      <c r="E213">
        <f t="shared" si="25"/>
        <v>1200446.3489999999</v>
      </c>
      <c r="F213" t="str">
        <f>Import!A212</f>
        <v>728</v>
      </c>
      <c r="G213" t="str">
        <f>Import!B212</f>
        <v>Südkorea</v>
      </c>
    </row>
    <row r="214" spans="1:7" x14ac:dyDescent="0.25">
      <c r="A214">
        <f t="shared" si="24"/>
        <v>1777315.456</v>
      </c>
      <c r="B214" t="str">
        <f>Export!A213</f>
        <v>732</v>
      </c>
      <c r="C214" t="str">
        <f>Export!B213</f>
        <v>Japan</v>
      </c>
      <c r="E214">
        <f t="shared" si="25"/>
        <v>2803880.9389999998</v>
      </c>
      <c r="F214" t="str">
        <f>Import!A213</f>
        <v>732</v>
      </c>
      <c r="G214" t="str">
        <f>Import!B213</f>
        <v>Japan</v>
      </c>
    </row>
    <row r="215" spans="1:7" x14ac:dyDescent="0.25">
      <c r="A215">
        <f t="shared" si="24"/>
        <v>763874.52300000004</v>
      </c>
      <c r="B215" t="str">
        <f>Export!A214</f>
        <v>736</v>
      </c>
      <c r="C215" t="str">
        <f>Export!B214</f>
        <v>Taiwan</v>
      </c>
      <c r="E215">
        <f t="shared" si="25"/>
        <v>1443566.848</v>
      </c>
      <c r="F215" t="str">
        <f>Import!A214</f>
        <v>736</v>
      </c>
      <c r="G215" t="str">
        <f>Import!B214</f>
        <v>Taiwan</v>
      </c>
    </row>
    <row r="216" spans="1:7" x14ac:dyDescent="0.25">
      <c r="A216">
        <f t="shared" si="24"/>
        <v>464661.75900000002</v>
      </c>
      <c r="B216" t="str">
        <f>Export!A215</f>
        <v>740</v>
      </c>
      <c r="C216" t="str">
        <f>Export!B215</f>
        <v>Hongkong</v>
      </c>
      <c r="E216">
        <f t="shared" si="25"/>
        <v>861559.81900000002</v>
      </c>
      <c r="F216" t="str">
        <f>Import!A215</f>
        <v>740</v>
      </c>
      <c r="G216" t="str">
        <f>Import!B215</f>
        <v>Hongkong</v>
      </c>
    </row>
    <row r="217" spans="1:7" x14ac:dyDescent="0.25">
      <c r="A217">
        <f t="shared" si="24"/>
        <v>7292.5969999999998</v>
      </c>
      <c r="B217" t="str">
        <f>Export!A216</f>
        <v>743</v>
      </c>
      <c r="C217" t="str">
        <f>Export!B216</f>
        <v>Macau</v>
      </c>
      <c r="E217">
        <f t="shared" si="25"/>
        <v>1374.3330000000001</v>
      </c>
      <c r="F217" t="str">
        <f>Import!A216</f>
        <v>743</v>
      </c>
      <c r="G217" t="str">
        <f>Import!B216</f>
        <v>Macau</v>
      </c>
    </row>
    <row r="218" spans="1:7" x14ac:dyDescent="0.25">
      <c r="A218">
        <f t="shared" si="24"/>
        <v>1297457.75</v>
      </c>
      <c r="B218" t="str">
        <f>Export!A217</f>
        <v>800</v>
      </c>
      <c r="C218" t="str">
        <f>Export!B217</f>
        <v>Australien</v>
      </c>
      <c r="E218">
        <f t="shared" si="25"/>
        <v>219041.24100000001</v>
      </c>
      <c r="F218" t="str">
        <f>Import!A217</f>
        <v>800</v>
      </c>
      <c r="G218" t="str">
        <f>Import!B217</f>
        <v>Australien</v>
      </c>
    </row>
    <row r="219" spans="1:7" x14ac:dyDescent="0.25">
      <c r="A219">
        <f t="shared" si="24"/>
        <v>1542.1679999999999</v>
      </c>
      <c r="B219" t="str">
        <f>Export!A218</f>
        <v>801</v>
      </c>
      <c r="C219" t="str">
        <f>Export!B218</f>
        <v>Papua-Neuguinea</v>
      </c>
      <c r="E219">
        <f t="shared" si="25"/>
        <v>5353.3029999999999</v>
      </c>
      <c r="F219" t="str">
        <f>Import!A218</f>
        <v>801</v>
      </c>
      <c r="G219" t="str">
        <f>Import!B218</f>
        <v>Papua-Neuguinea</v>
      </c>
    </row>
    <row r="220" spans="1:7" x14ac:dyDescent="0.25">
      <c r="A220">
        <f t="shared" si="24"/>
        <v>0</v>
      </c>
      <c r="B220" t="str">
        <f>Export!A219</f>
        <v>802</v>
      </c>
      <c r="C220" t="str">
        <f>Export!B219</f>
        <v>Austral.Ozeanien</v>
      </c>
      <c r="E220">
        <f t="shared" si="25"/>
        <v>0</v>
      </c>
      <c r="F220" t="str">
        <f>Import!A219</f>
        <v>802</v>
      </c>
      <c r="G220" t="str">
        <f>Import!B219</f>
        <v>Austral.Ozeanien</v>
      </c>
    </row>
    <row r="221" spans="1:7" x14ac:dyDescent="0.25">
      <c r="A221">
        <f t="shared" si="24"/>
        <v>0</v>
      </c>
      <c r="B221" t="str">
        <f>Export!A220</f>
        <v>803</v>
      </c>
      <c r="C221" t="str">
        <f>Export!B220</f>
        <v>Nauru</v>
      </c>
      <c r="E221">
        <f t="shared" si="25"/>
        <v>225.8</v>
      </c>
      <c r="F221" t="str">
        <f>Import!A220</f>
        <v>803</v>
      </c>
      <c r="G221" t="str">
        <f>Import!B220</f>
        <v>Nauru</v>
      </c>
    </row>
    <row r="222" spans="1:7" x14ac:dyDescent="0.25">
      <c r="A222">
        <f t="shared" si="24"/>
        <v>181566.158</v>
      </c>
      <c r="B222" t="str">
        <f>Export!A221</f>
        <v>804</v>
      </c>
      <c r="C222" t="str">
        <f>Export!B221</f>
        <v>Neuseeland</v>
      </c>
      <c r="E222">
        <f t="shared" si="25"/>
        <v>57542.752999999997</v>
      </c>
      <c r="F222" t="str">
        <f>Import!A221</f>
        <v>804</v>
      </c>
      <c r="G222" t="str">
        <f>Import!B221</f>
        <v>Neuseeland</v>
      </c>
    </row>
    <row r="223" spans="1:7" x14ac:dyDescent="0.25">
      <c r="A223">
        <f t="shared" si="24"/>
        <v>125.157</v>
      </c>
      <c r="B223" t="str">
        <f>Export!A222</f>
        <v>806</v>
      </c>
      <c r="C223" t="str">
        <f>Export!B222</f>
        <v>Salomonen</v>
      </c>
      <c r="E223">
        <f t="shared" si="25"/>
        <v>12.657</v>
      </c>
      <c r="F223" t="str">
        <f>Import!A222</f>
        <v>806</v>
      </c>
      <c r="G223" t="str">
        <f>Import!B222</f>
        <v>Salomonen</v>
      </c>
    </row>
    <row r="224" spans="1:7" x14ac:dyDescent="0.25">
      <c r="A224">
        <f t="shared" si="24"/>
        <v>0</v>
      </c>
      <c r="B224" t="str">
        <f>Export!A223</f>
        <v>807</v>
      </c>
      <c r="C224" t="str">
        <f>Export!B223</f>
        <v>Tuvalu</v>
      </c>
      <c r="E224">
        <f t="shared" si="25"/>
        <v>40.911999999999999</v>
      </c>
      <c r="F224" t="str">
        <f>Import!A223</f>
        <v>807</v>
      </c>
      <c r="G224" t="str">
        <f>Import!B223</f>
        <v>Tuvalu</v>
      </c>
    </row>
    <row r="225" spans="1:7" x14ac:dyDescent="0.25">
      <c r="A225">
        <f t="shared" si="24"/>
        <v>4393.1760000000004</v>
      </c>
      <c r="B225" t="str">
        <f>Export!A224</f>
        <v>809</v>
      </c>
      <c r="C225" t="str">
        <f>Export!B224</f>
        <v>Neukaledonien</v>
      </c>
      <c r="E225">
        <f t="shared" si="25"/>
        <v>3141.306</v>
      </c>
      <c r="F225" t="str">
        <f>Import!A224</f>
        <v>809</v>
      </c>
      <c r="G225" t="str">
        <f>Import!B224</f>
        <v>Neukaledonien</v>
      </c>
    </row>
    <row r="226" spans="1:7" x14ac:dyDescent="0.25">
      <c r="A226">
        <f t="shared" si="24"/>
        <v>0</v>
      </c>
      <c r="B226" t="str">
        <f>Export!A225</f>
        <v>810</v>
      </c>
      <c r="C226" t="str">
        <f>Export!B225</f>
        <v>Amerik.-Ozeanien</v>
      </c>
      <c r="E226">
        <f t="shared" si="25"/>
        <v>0</v>
      </c>
      <c r="F226" t="str">
        <f>Import!A225</f>
        <v>810</v>
      </c>
      <c r="G226" t="str">
        <f>Import!B225</f>
        <v>Amerik.-Ozeanien</v>
      </c>
    </row>
    <row r="227" spans="1:7" x14ac:dyDescent="0.25">
      <c r="A227">
        <f t="shared" si="24"/>
        <v>0.23799999999999999</v>
      </c>
      <c r="B227" t="str">
        <f>Export!A226</f>
        <v>811</v>
      </c>
      <c r="C227" t="str">
        <f>Export!B226</f>
        <v>Wallis und Futuna</v>
      </c>
      <c r="E227">
        <f t="shared" si="25"/>
        <v>4.9000000000000002E-2</v>
      </c>
      <c r="F227" t="str">
        <f>Import!A226</f>
        <v>811</v>
      </c>
      <c r="G227" t="str">
        <f>Import!B226</f>
        <v>Wallis und Futuna</v>
      </c>
    </row>
    <row r="228" spans="1:7" x14ac:dyDescent="0.25">
      <c r="A228">
        <f t="shared" si="24"/>
        <v>9.7959999999999994</v>
      </c>
      <c r="B228" t="str">
        <f>Export!A227</f>
        <v>812</v>
      </c>
      <c r="C228" t="str">
        <f>Export!B227</f>
        <v>Kiribati</v>
      </c>
      <c r="E228">
        <f t="shared" si="25"/>
        <v>1.5189999999999999</v>
      </c>
      <c r="F228" t="str">
        <f>Import!A227</f>
        <v>812</v>
      </c>
      <c r="G228" t="str">
        <f>Import!B227</f>
        <v>Kiribati</v>
      </c>
    </row>
    <row r="229" spans="1:7" x14ac:dyDescent="0.25">
      <c r="A229">
        <f t="shared" si="24"/>
        <v>0</v>
      </c>
      <c r="B229" t="str">
        <f>Export!A228</f>
        <v>813</v>
      </c>
      <c r="C229" t="str">
        <f>Export!B228</f>
        <v>Pitcairn</v>
      </c>
      <c r="E229">
        <f t="shared" si="25"/>
        <v>0.04</v>
      </c>
      <c r="F229" t="str">
        <f>Import!A228</f>
        <v>813</v>
      </c>
      <c r="G229" t="str">
        <f>Import!B228</f>
        <v>Pitcairn</v>
      </c>
    </row>
    <row r="230" spans="1:7" x14ac:dyDescent="0.25">
      <c r="A230">
        <f t="shared" si="24"/>
        <v>0</v>
      </c>
      <c r="B230" t="str">
        <f>Export!A229</f>
        <v>814</v>
      </c>
      <c r="C230" t="str">
        <f>Export!B229</f>
        <v>Neuseeld.Ozeanien</v>
      </c>
      <c r="E230">
        <f t="shared" si="25"/>
        <v>0</v>
      </c>
      <c r="F230" t="str">
        <f>Import!A229</f>
        <v>814</v>
      </c>
      <c r="G230" t="str">
        <f>Import!B229</f>
        <v>Neuseeld.Ozeanien</v>
      </c>
    </row>
    <row r="231" spans="1:7" x14ac:dyDescent="0.25">
      <c r="A231">
        <f t="shared" si="24"/>
        <v>1014.076</v>
      </c>
      <c r="B231" t="str">
        <f>Export!A230</f>
        <v>815</v>
      </c>
      <c r="C231" t="str">
        <f>Export!B230</f>
        <v>Fidschi</v>
      </c>
      <c r="E231">
        <f t="shared" si="25"/>
        <v>157.72999999999999</v>
      </c>
      <c r="F231" t="str">
        <f>Import!A230</f>
        <v>815</v>
      </c>
      <c r="G231" t="str">
        <f>Import!B230</f>
        <v>Fidschi</v>
      </c>
    </row>
    <row r="232" spans="1:7" x14ac:dyDescent="0.25">
      <c r="A232">
        <f t="shared" si="24"/>
        <v>46.823999999999998</v>
      </c>
      <c r="B232" t="str">
        <f>Export!A231</f>
        <v>816</v>
      </c>
      <c r="C232" t="str">
        <f>Export!B231</f>
        <v>Vanuatu</v>
      </c>
      <c r="E232">
        <f t="shared" si="25"/>
        <v>2.141</v>
      </c>
      <c r="F232" t="str">
        <f>Import!A231</f>
        <v>816</v>
      </c>
      <c r="G232" t="str">
        <f>Import!B231</f>
        <v>Vanuatu</v>
      </c>
    </row>
    <row r="233" spans="1:7" x14ac:dyDescent="0.25">
      <c r="A233">
        <f t="shared" si="24"/>
        <v>32.159999999999997</v>
      </c>
      <c r="B233" t="str">
        <f>Export!A232</f>
        <v>817</v>
      </c>
      <c r="C233" t="str">
        <f>Export!B232</f>
        <v>Tonga</v>
      </c>
      <c r="E233">
        <f t="shared" si="25"/>
        <v>0.35</v>
      </c>
      <c r="F233" t="str">
        <f>Import!A232</f>
        <v>817</v>
      </c>
      <c r="G233" t="str">
        <f>Import!B232</f>
        <v>Tonga</v>
      </c>
    </row>
    <row r="234" spans="1:7" x14ac:dyDescent="0.25">
      <c r="A234">
        <f t="shared" si="24"/>
        <v>208.31200000000001</v>
      </c>
      <c r="B234" t="str">
        <f>Export!A233</f>
        <v>819</v>
      </c>
      <c r="C234" t="str">
        <f>Export!B233</f>
        <v>Samoa</v>
      </c>
      <c r="E234">
        <f t="shared" si="25"/>
        <v>7.1159999999999997</v>
      </c>
      <c r="F234" t="str">
        <f>Import!A233</f>
        <v>819</v>
      </c>
      <c r="G234" t="str">
        <f>Import!B233</f>
        <v>Samoa</v>
      </c>
    </row>
    <row r="235" spans="1:7" x14ac:dyDescent="0.25">
      <c r="A235">
        <f t="shared" si="24"/>
        <v>0</v>
      </c>
      <c r="B235" t="str">
        <f>Export!A234</f>
        <v>820</v>
      </c>
      <c r="C235" t="str">
        <f>Export!B234</f>
        <v>Nördliche Marianen</v>
      </c>
      <c r="E235">
        <f t="shared" si="25"/>
        <v>1.619</v>
      </c>
      <c r="F235" t="str">
        <f>Import!A234</f>
        <v>820</v>
      </c>
      <c r="G235" t="str">
        <f>Import!B234</f>
        <v>Nördliche Marianen</v>
      </c>
    </row>
    <row r="236" spans="1:7" x14ac:dyDescent="0.25">
      <c r="A236">
        <f t="shared" si="24"/>
        <v>2990.7809999999999</v>
      </c>
      <c r="B236" t="str">
        <f>Export!A235</f>
        <v>822</v>
      </c>
      <c r="C236" t="str">
        <f>Export!B235</f>
        <v>Frz.Polynesien</v>
      </c>
      <c r="E236">
        <f t="shared" si="25"/>
        <v>272.03500000000003</v>
      </c>
      <c r="F236" t="str">
        <f>Import!A235</f>
        <v>822</v>
      </c>
      <c r="G236" t="str">
        <f>Import!B235</f>
        <v>Frz.Polynesien</v>
      </c>
    </row>
    <row r="237" spans="1:7" x14ac:dyDescent="0.25">
      <c r="A237">
        <f t="shared" si="24"/>
        <v>0</v>
      </c>
      <c r="B237" t="str">
        <f>Export!A236</f>
        <v>823</v>
      </c>
      <c r="C237" t="str">
        <f>Export!B236</f>
        <v>Föd.Mikronesien</v>
      </c>
      <c r="E237">
        <f t="shared" si="25"/>
        <v>35.223999999999997</v>
      </c>
      <c r="F237" t="str">
        <f>Import!A236</f>
        <v>823</v>
      </c>
      <c r="G237" t="str">
        <f>Import!B236</f>
        <v>Föd.Mikronesien</v>
      </c>
    </row>
    <row r="238" spans="1:7" x14ac:dyDescent="0.25">
      <c r="A238">
        <f t="shared" si="24"/>
        <v>123.48099999999999</v>
      </c>
      <c r="B238" t="str">
        <f>Export!A237</f>
        <v>824</v>
      </c>
      <c r="C238" t="str">
        <f>Export!B237</f>
        <v>Marshall-Inseln</v>
      </c>
      <c r="E238">
        <f t="shared" si="25"/>
        <v>0.45500000000000002</v>
      </c>
      <c r="F238" t="str">
        <f>Import!A237</f>
        <v>824</v>
      </c>
      <c r="G238" t="str">
        <f>Import!B237</f>
        <v>Marshall-Inseln</v>
      </c>
    </row>
    <row r="239" spans="1:7" x14ac:dyDescent="0.25">
      <c r="A239">
        <f t="shared" si="24"/>
        <v>2.2850000000000001</v>
      </c>
      <c r="B239" t="str">
        <f>Export!A238</f>
        <v>825</v>
      </c>
      <c r="C239" t="str">
        <f>Export!B238</f>
        <v>Palau</v>
      </c>
      <c r="E239">
        <f t="shared" si="25"/>
        <v>1.419</v>
      </c>
      <c r="F239" t="str">
        <f>Import!A238</f>
        <v>825</v>
      </c>
      <c r="G239" t="str">
        <f>Import!B238</f>
        <v>Palau</v>
      </c>
    </row>
    <row r="240" spans="1:7" x14ac:dyDescent="0.25">
      <c r="A240">
        <f t="shared" si="24"/>
        <v>11.019</v>
      </c>
      <c r="B240" t="str">
        <f>Export!A239</f>
        <v>830</v>
      </c>
      <c r="C240" t="str">
        <f>Export!B239</f>
        <v>Amerikanisch-Samoa</v>
      </c>
      <c r="E240">
        <f t="shared" si="25"/>
        <v>20.170999999999999</v>
      </c>
      <c r="F240" t="str">
        <f>Import!A239</f>
        <v>830</v>
      </c>
      <c r="G240" t="str">
        <f>Import!B239</f>
        <v>Amerikanisch-Samoa</v>
      </c>
    </row>
    <row r="241" spans="1:7" x14ac:dyDescent="0.25">
      <c r="A241">
        <f t="shared" si="24"/>
        <v>192.64500000000001</v>
      </c>
      <c r="B241" t="str">
        <f>Export!A240</f>
        <v>831</v>
      </c>
      <c r="C241" t="str">
        <f>Export!B240</f>
        <v>Guam</v>
      </c>
      <c r="E241">
        <f t="shared" si="25"/>
        <v>30.172999999999998</v>
      </c>
      <c r="F241" t="str">
        <f>Import!A240</f>
        <v>831</v>
      </c>
      <c r="G241" t="str">
        <f>Import!B240</f>
        <v>Guam</v>
      </c>
    </row>
    <row r="242" spans="1:7" x14ac:dyDescent="0.25">
      <c r="A242">
        <f t="shared" si="24"/>
        <v>0</v>
      </c>
      <c r="B242" t="str">
        <f>Export!A241</f>
        <v>832</v>
      </c>
      <c r="C242" t="str">
        <f>Export!B241</f>
        <v>Kl.amerikan.Überseeinseln</v>
      </c>
      <c r="E242">
        <f t="shared" si="25"/>
        <v>88.713999999999999</v>
      </c>
      <c r="F242" t="str">
        <f>Import!A241</f>
        <v>832</v>
      </c>
      <c r="G242" t="str">
        <f>Import!B241</f>
        <v>Kl.amerikan.Überseeinseln</v>
      </c>
    </row>
    <row r="243" spans="1:7" x14ac:dyDescent="0.25">
      <c r="A243">
        <f t="shared" si="24"/>
        <v>0</v>
      </c>
      <c r="B243" t="str">
        <f>Export!A242</f>
        <v>833</v>
      </c>
      <c r="C243" t="str">
        <f>Export!B242</f>
        <v>Kokosinseln</v>
      </c>
      <c r="E243">
        <f t="shared" si="25"/>
        <v>1.516</v>
      </c>
      <c r="F243" t="str">
        <f>Import!A242</f>
        <v>833</v>
      </c>
      <c r="G243" t="str">
        <f>Import!B242</f>
        <v>Kokosinseln</v>
      </c>
    </row>
    <row r="244" spans="1:7" x14ac:dyDescent="0.25">
      <c r="A244">
        <f t="shared" si="24"/>
        <v>0</v>
      </c>
      <c r="B244" t="str">
        <f>Export!A243</f>
        <v>834</v>
      </c>
      <c r="C244" t="str">
        <f>Export!B243</f>
        <v>Weihnachtsinseln</v>
      </c>
      <c r="E244">
        <f t="shared" si="25"/>
        <v>153.04300000000001</v>
      </c>
      <c r="F244" t="str">
        <f>Import!A243</f>
        <v>834</v>
      </c>
      <c r="G244" t="str">
        <f>Import!B243</f>
        <v>Weihnachtsinseln</v>
      </c>
    </row>
    <row r="245" spans="1:7" x14ac:dyDescent="0.25">
      <c r="A245">
        <f t="shared" si="24"/>
        <v>0</v>
      </c>
      <c r="B245" t="str">
        <f>Export!A244</f>
        <v>835</v>
      </c>
      <c r="C245" t="str">
        <f>Export!B244</f>
        <v>Heard u. McDonaldinseln</v>
      </c>
      <c r="E245">
        <f t="shared" si="25"/>
        <v>0</v>
      </c>
      <c r="F245" t="str">
        <f>Import!A244</f>
        <v>835</v>
      </c>
      <c r="G245" t="str">
        <f>Import!B244</f>
        <v>Heard u. McDonaldinseln</v>
      </c>
    </row>
    <row r="246" spans="1:7" x14ac:dyDescent="0.25">
      <c r="A246">
        <f t="shared" si="24"/>
        <v>2.4380000000000002</v>
      </c>
      <c r="B246" t="str">
        <f>Export!A245</f>
        <v>836</v>
      </c>
      <c r="C246" t="str">
        <f>Export!B245</f>
        <v>Norfolkinseln</v>
      </c>
      <c r="E246">
        <f t="shared" si="25"/>
        <v>0</v>
      </c>
      <c r="F246" t="str">
        <f>Import!A245</f>
        <v>836</v>
      </c>
      <c r="G246" t="str">
        <f>Import!B245</f>
        <v>Norfolkinseln</v>
      </c>
    </row>
    <row r="247" spans="1:7" x14ac:dyDescent="0.25">
      <c r="A247">
        <f t="shared" si="24"/>
        <v>61.658999999999999</v>
      </c>
      <c r="B247" t="str">
        <f>Export!A246</f>
        <v>837</v>
      </c>
      <c r="C247" t="str">
        <f>Export!B246</f>
        <v>Cookinseln</v>
      </c>
      <c r="E247">
        <f t="shared" si="25"/>
        <v>7.9009999999999998</v>
      </c>
      <c r="F247" t="str">
        <f>Import!A246</f>
        <v>837</v>
      </c>
      <c r="G247" t="str">
        <f>Import!B246</f>
        <v>Cookinseln</v>
      </c>
    </row>
    <row r="248" spans="1:7" x14ac:dyDescent="0.25">
      <c r="A248">
        <f t="shared" si="24"/>
        <v>0</v>
      </c>
      <c r="B248" t="str">
        <f>Export!A247</f>
        <v>838</v>
      </c>
      <c r="C248" t="str">
        <f>Export!B247</f>
        <v>Niue</v>
      </c>
      <c r="E248">
        <f t="shared" si="25"/>
        <v>22.571999999999999</v>
      </c>
      <c r="F248" t="str">
        <f>Import!A247</f>
        <v>838</v>
      </c>
      <c r="G248" t="str">
        <f>Import!B247</f>
        <v>Niue</v>
      </c>
    </row>
    <row r="249" spans="1:7" x14ac:dyDescent="0.25">
      <c r="A249">
        <f t="shared" si="24"/>
        <v>17.05</v>
      </c>
      <c r="B249" t="str">
        <f>Export!A248</f>
        <v>839</v>
      </c>
      <c r="C249" t="str">
        <f>Export!B248</f>
        <v>Tokelauinseln</v>
      </c>
      <c r="E249">
        <f t="shared" si="25"/>
        <v>23.667000000000002</v>
      </c>
      <c r="F249" t="str">
        <f>Import!A248</f>
        <v>839</v>
      </c>
      <c r="G249" t="str">
        <f>Import!B248</f>
        <v>Tokelauinseln</v>
      </c>
    </row>
    <row r="250" spans="1:7" x14ac:dyDescent="0.25">
      <c r="A250">
        <f t="shared" si="24"/>
        <v>0</v>
      </c>
      <c r="B250" t="str">
        <f>Export!A249</f>
        <v>890</v>
      </c>
      <c r="C250" t="str">
        <f>Export!B249</f>
        <v>Polargebiete</v>
      </c>
      <c r="E250">
        <f t="shared" si="25"/>
        <v>0</v>
      </c>
      <c r="F250" t="str">
        <f>Import!A249</f>
        <v>890</v>
      </c>
      <c r="G250" t="str">
        <f>Import!B249</f>
        <v>Polargebiete</v>
      </c>
    </row>
    <row r="251" spans="1:7" x14ac:dyDescent="0.25">
      <c r="A251">
        <f t="shared" si="24"/>
        <v>9.6120000000000001</v>
      </c>
      <c r="B251" t="str">
        <f>Export!A250</f>
        <v>891</v>
      </c>
      <c r="C251" t="str">
        <f>Export!B250</f>
        <v>Antarktis</v>
      </c>
      <c r="E251">
        <f t="shared" si="25"/>
        <v>4.875</v>
      </c>
      <c r="F251" t="str">
        <f>Import!A250</f>
        <v>891</v>
      </c>
      <c r="G251" t="str">
        <f>Import!B250</f>
        <v>Antarktis</v>
      </c>
    </row>
    <row r="252" spans="1:7" x14ac:dyDescent="0.25">
      <c r="A252">
        <f t="shared" si="24"/>
        <v>0</v>
      </c>
      <c r="B252" t="str">
        <f>Export!A251</f>
        <v>892</v>
      </c>
      <c r="C252" t="str">
        <f>Export!B251</f>
        <v>Bouvetinsel</v>
      </c>
      <c r="E252">
        <f t="shared" si="25"/>
        <v>4.8000000000000001E-2</v>
      </c>
      <c r="F252" t="str">
        <f>Import!A251</f>
        <v>892</v>
      </c>
      <c r="G252" t="str">
        <f>Import!B251</f>
        <v>Bouvetinsel</v>
      </c>
    </row>
    <row r="253" spans="1:7" x14ac:dyDescent="0.25">
      <c r="A253">
        <f t="shared" si="24"/>
        <v>0</v>
      </c>
      <c r="B253" t="str">
        <f>Export!A252</f>
        <v>893</v>
      </c>
      <c r="C253" t="str">
        <f>Export!B252</f>
        <v>Südgeorg./Südl.Sandwichi.</v>
      </c>
      <c r="E253">
        <f t="shared" si="25"/>
        <v>0</v>
      </c>
      <c r="F253" t="str">
        <f>Import!A252</f>
        <v>893</v>
      </c>
      <c r="G253" t="str">
        <f>Import!B252</f>
        <v>Südgeorg./Südl.Sandwichi.</v>
      </c>
    </row>
    <row r="254" spans="1:7" x14ac:dyDescent="0.25">
      <c r="A254">
        <f t="shared" si="24"/>
        <v>0</v>
      </c>
      <c r="B254" t="str">
        <f>Export!A253</f>
        <v>894</v>
      </c>
      <c r="C254" t="str">
        <f>Export!B253</f>
        <v>Französische Südgebiete</v>
      </c>
      <c r="E254">
        <f t="shared" si="25"/>
        <v>0.39300000000000002</v>
      </c>
      <c r="F254" t="str">
        <f>Import!A253</f>
        <v>894</v>
      </c>
      <c r="G254" t="str">
        <f>Import!B253</f>
        <v>Französische Südgebiete</v>
      </c>
    </row>
    <row r="255" spans="1:7" x14ac:dyDescent="0.25">
      <c r="A255">
        <f t="shared" si="24"/>
        <v>0</v>
      </c>
      <c r="B255" t="str">
        <f>Export!A254</f>
        <v>951</v>
      </c>
      <c r="C255" t="str">
        <f>Export!B254</f>
        <v>Bordvorräte EU</v>
      </c>
      <c r="E255">
        <f t="shared" si="25"/>
        <v>0</v>
      </c>
      <c r="F255" t="str">
        <f>Import!A254</f>
        <v>951</v>
      </c>
      <c r="G255" t="str">
        <f>Import!B254</f>
        <v>Bordvorräte EU</v>
      </c>
    </row>
    <row r="256" spans="1:7" x14ac:dyDescent="0.25">
      <c r="A256">
        <f t="shared" si="24"/>
        <v>210846.28700000001</v>
      </c>
      <c r="B256" t="str">
        <f>Export!A255</f>
        <v>952</v>
      </c>
      <c r="C256" t="str">
        <f>Export!B255</f>
        <v>Bordvorräte Drittstaaten</v>
      </c>
      <c r="E256">
        <f t="shared" si="25"/>
        <v>0</v>
      </c>
      <c r="F256" t="str">
        <f>Import!A255</f>
        <v>952</v>
      </c>
      <c r="G256" t="str">
        <f>Import!B255</f>
        <v>Bordvorräte Drittstaaten</v>
      </c>
    </row>
    <row r="257" spans="1:7" x14ac:dyDescent="0.25">
      <c r="A257">
        <f t="shared" si="24"/>
        <v>38.058999999999997</v>
      </c>
      <c r="B257" t="str">
        <f>Export!A256</f>
        <v>955</v>
      </c>
      <c r="C257" t="str">
        <f>Export!B256</f>
        <v>Hohe See</v>
      </c>
      <c r="E257">
        <f t="shared" si="25"/>
        <v>0</v>
      </c>
      <c r="F257" t="str">
        <f>Import!A256</f>
        <v>955</v>
      </c>
      <c r="G257" t="str">
        <f>Import!B256</f>
        <v>Hohe See</v>
      </c>
    </row>
    <row r="258" spans="1:7" x14ac:dyDescent="0.25">
      <c r="A258">
        <f t="shared" si="24"/>
        <v>0</v>
      </c>
      <c r="B258" t="str">
        <f>Export!A257</f>
        <v>959</v>
      </c>
      <c r="C258" t="str">
        <f>Export!B257</f>
        <v>Nicht ermitt. Gebiete EU</v>
      </c>
      <c r="E258">
        <f t="shared" si="25"/>
        <v>0</v>
      </c>
      <c r="F258" t="str">
        <f>Import!A257</f>
        <v>959</v>
      </c>
      <c r="G258" t="str">
        <f>Import!B257</f>
        <v>Nicht ermitt. Gebiete EU</v>
      </c>
    </row>
    <row r="259" spans="1:7" x14ac:dyDescent="0.25">
      <c r="A259">
        <f t="shared" ref="A259:A264" si="26">VLOOKUP(C259,Export_Matrix,$A$1,FALSE)/Einheit_Wert</f>
        <v>3.7930000000000001</v>
      </c>
      <c r="B259" t="str">
        <f>Export!A258</f>
        <v>960</v>
      </c>
      <c r="C259" t="str">
        <f>Export!B258</f>
        <v>Nicht ermitt.Drittstaaten</v>
      </c>
      <c r="E259">
        <f t="shared" ref="E259:E264" si="27">VLOOKUP(G259,Import_Matrix,$A$1,FALSE)/Einheit_Wert</f>
        <v>0</v>
      </c>
      <c r="F259" t="str">
        <f>Import!A258</f>
        <v>960</v>
      </c>
      <c r="G259" t="str">
        <f>Import!B258</f>
        <v>Nicht ermitt.Drittstaaten</v>
      </c>
    </row>
    <row r="260" spans="1:7" x14ac:dyDescent="0.25">
      <c r="A260">
        <f t="shared" si="26"/>
        <v>0</v>
      </c>
      <c r="B260" t="str">
        <f>Export!A259</f>
        <v>99X</v>
      </c>
      <c r="C260" t="str">
        <f>Export!B259</f>
        <v>Kanarische Inseln (1998)</v>
      </c>
      <c r="E260">
        <f t="shared" si="27"/>
        <v>0</v>
      </c>
      <c r="F260" t="str">
        <f>Import!A259</f>
        <v>99X</v>
      </c>
      <c r="G260" t="str">
        <f>Import!B259</f>
        <v>Kanarische Inseln (1998)</v>
      </c>
    </row>
    <row r="261" spans="1:7" x14ac:dyDescent="0.25">
      <c r="A261">
        <f t="shared" si="26"/>
        <v>104647859.156</v>
      </c>
      <c r="B261" t="str">
        <f>Export!A260</f>
        <v>EU14</v>
      </c>
      <c r="C261" t="str">
        <f>Export!B260</f>
        <v>EU14</v>
      </c>
      <c r="E261" t="e">
        <f t="shared" si="27"/>
        <v>#REF!</v>
      </c>
      <c r="F261" t="e">
        <f>Import!#REF!</f>
        <v>#REF!</v>
      </c>
      <c r="G261" t="e">
        <f>Import!#REF!</f>
        <v>#REF!</v>
      </c>
    </row>
    <row r="262" spans="1:7" x14ac:dyDescent="0.25">
      <c r="A262">
        <f t="shared" si="26"/>
        <v>135544069.21599999</v>
      </c>
      <c r="B262" t="str">
        <f>Export!A261</f>
        <v>EU24</v>
      </c>
      <c r="C262" t="str">
        <f>Export!B261</f>
        <v>EU24</v>
      </c>
      <c r="E262" t="e">
        <f t="shared" si="27"/>
        <v>#REF!</v>
      </c>
      <c r="F262" t="e">
        <f>Import!#REF!</f>
        <v>#REF!</v>
      </c>
      <c r="G262" t="e">
        <f>Import!#REF!</f>
        <v>#REF!</v>
      </c>
    </row>
    <row r="263" spans="1:7" x14ac:dyDescent="0.25">
      <c r="A263">
        <f t="shared" si="26"/>
        <v>140664192.171</v>
      </c>
      <c r="B263" t="str">
        <f>Export!A262</f>
        <v>EU26</v>
      </c>
      <c r="C263" t="str">
        <f>Export!B262</f>
        <v>EU26</v>
      </c>
      <c r="E263" t="e">
        <f t="shared" si="27"/>
        <v>#REF!</v>
      </c>
      <c r="F263" t="e">
        <f>Import!#REF!</f>
        <v>#REF!</v>
      </c>
      <c r="G263" t="e">
        <f>Import!#REF!</f>
        <v>#REF!</v>
      </c>
    </row>
    <row r="264" spans="1:7" x14ac:dyDescent="0.25">
      <c r="A264">
        <f t="shared" si="26"/>
        <v>142609814.28799999</v>
      </c>
      <c r="B264" t="str">
        <f>Export!A263</f>
        <v>EU27</v>
      </c>
      <c r="C264" t="str">
        <f>Export!B263</f>
        <v>EU27</v>
      </c>
      <c r="E264" t="e">
        <f t="shared" si="27"/>
        <v>#REF!</v>
      </c>
      <c r="F264" t="e">
        <f>Import!#REF!</f>
        <v>#REF!</v>
      </c>
      <c r="G264" t="e">
        <f>Import!#REF!</f>
        <v>#REF!</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T259"/>
  <sheetViews>
    <sheetView topLeftCell="A32" workbookViewId="0">
      <selection activeCell="M48" sqref="M48"/>
    </sheetView>
  </sheetViews>
  <sheetFormatPr baseColWidth="10" defaultRowHeight="12.5" x14ac:dyDescent="0.25"/>
  <cols>
    <col min="1" max="1" width="8.453125" customWidth="1"/>
    <col min="2" max="2" width="23.54296875" customWidth="1"/>
    <col min="3" max="4" width="8" customWidth="1"/>
    <col min="5" max="5" width="8.81640625" customWidth="1"/>
    <col min="6" max="6" width="5" bestFit="1" customWidth="1"/>
    <col min="7" max="7" width="3.1796875" customWidth="1"/>
    <col min="8" max="9" width="9.54296875" customWidth="1"/>
    <col min="10" max="10" width="13.453125" customWidth="1"/>
    <col min="11" max="11" width="4.54296875" customWidth="1"/>
    <col min="12" max="12" width="4.453125" customWidth="1"/>
    <col min="13" max="14" width="9.54296875" customWidth="1"/>
    <col min="15" max="15" width="13.453125" customWidth="1"/>
  </cols>
  <sheetData>
    <row r="1" spans="1:20" x14ac:dyDescent="0.25">
      <c r="A1" s="77" t="s">
        <v>506</v>
      </c>
      <c r="B1" s="77"/>
      <c r="C1" s="7"/>
      <c r="D1" s="77"/>
      <c r="E1" s="77"/>
      <c r="F1" s="77"/>
      <c r="G1" s="2"/>
      <c r="H1" s="77" t="s">
        <v>549</v>
      </c>
      <c r="I1" s="77"/>
      <c r="J1" s="77"/>
      <c r="K1" s="77"/>
      <c r="O1" t="s">
        <v>550</v>
      </c>
      <c r="Q1" t="b">
        <v>0</v>
      </c>
      <c r="R1" t="s">
        <v>574</v>
      </c>
      <c r="S1" t="s">
        <v>575</v>
      </c>
      <c r="T1" t="s">
        <v>576</v>
      </c>
    </row>
    <row r="2" spans="1:20" ht="14.5" x14ac:dyDescent="0.35">
      <c r="A2" t="s">
        <v>1</v>
      </c>
      <c r="B2" t="s">
        <v>2</v>
      </c>
      <c r="C2" t="s">
        <v>0</v>
      </c>
      <c r="D2" s="4" t="s">
        <v>505</v>
      </c>
      <c r="E2" s="17" t="s">
        <v>546</v>
      </c>
      <c r="F2" s="3"/>
      <c r="G2" s="3"/>
      <c r="H2" s="28" t="s">
        <v>507</v>
      </c>
      <c r="I2" s="28" t="s">
        <v>577</v>
      </c>
      <c r="J2" s="16" t="s">
        <v>546</v>
      </c>
      <c r="K2" s="16"/>
      <c r="M2" s="28" t="s">
        <v>507</v>
      </c>
      <c r="N2" s="28" t="s">
        <v>577</v>
      </c>
      <c r="O2" s="16" t="s">
        <v>546</v>
      </c>
      <c r="Q2" t="b">
        <v>1</v>
      </c>
      <c r="R2">
        <f>IF(Q1=TRUE,1,IF(Q2=TRUE,2,3))</f>
        <v>2</v>
      </c>
      <c r="S2" t="str">
        <f>IF(AND(Texte!$A$1=2,$R$2=1),"in Euros",IF(AND(Texte!$A$1=1,$R$2=1),"in Euro",IF(AND(Texte!$A$1=2,$R$2=2),"in 1000 Euros",IF(AND(Texte!$A$1=1,$R$2=2),"in 1000 Euro",IF(AND(Texte!$A$1=2,$R$2=3),"in mill. Euros","in Mio. Euro")))))</f>
        <v>in 1000 Euro</v>
      </c>
      <c r="T2">
        <f>IF($R$2=1,1,IF($R$2=2,1000,1000000))</f>
        <v>1000</v>
      </c>
    </row>
    <row r="3" spans="1:20" ht="14.5" x14ac:dyDescent="0.35">
      <c r="A3" t="str">
        <f>Texte!A193</f>
        <v>660</v>
      </c>
      <c r="B3" t="str">
        <f>VLOOKUP(Tabelle_Abfrage_von_MS_Access_Database4[[#This Row],[LAND]],Texte!$A$4:$C$261,Texte!$A$1+1,FALSE)</f>
        <v>Afghanistan</v>
      </c>
      <c r="C3">
        <v>1</v>
      </c>
      <c r="D3" s="11">
        <v>55</v>
      </c>
      <c r="E3" s="11" t="str">
        <f>LOOKUP(D3,Land_Wert,Tabelle_Abfrage_von_MS_Access_Database4[Partnerland])</f>
        <v>Deutschland</v>
      </c>
      <c r="H3" s="29" t="s">
        <v>508</v>
      </c>
      <c r="I3" s="29" t="s">
        <v>578</v>
      </c>
      <c r="J3">
        <v>2023</v>
      </c>
      <c r="M3" s="29" t="s">
        <v>508</v>
      </c>
      <c r="N3" s="29" t="s">
        <v>578</v>
      </c>
      <c r="O3">
        <v>2023</v>
      </c>
      <c r="Q3" t="b">
        <v>0</v>
      </c>
    </row>
    <row r="4" spans="1:20" ht="14.5" x14ac:dyDescent="0.35">
      <c r="A4" t="str">
        <f>Texte!A68</f>
        <v>220</v>
      </c>
      <c r="B4" t="str">
        <f>VLOOKUP(Tabelle_Abfrage_von_MS_Access_Database4[[#This Row],[LAND]],Texte!$A$4:$C$261,Texte!$A$1+1,FALSE)</f>
        <v>Ägypten</v>
      </c>
      <c r="C4">
        <v>2</v>
      </c>
      <c r="D4" s="11"/>
      <c r="E4" s="11" t="e">
        <f>LOOKUP(D4,Land_Wert,Tabelle_Abfrage_von_MS_Access_Database4[Partnerland])</f>
        <v>#N/A</v>
      </c>
      <c r="H4" s="29" t="s">
        <v>509</v>
      </c>
      <c r="I4" s="29" t="s">
        <v>578</v>
      </c>
      <c r="M4" s="29" t="s">
        <v>509</v>
      </c>
      <c r="N4" s="29" t="s">
        <v>578</v>
      </c>
      <c r="R4" t="s">
        <v>751</v>
      </c>
    </row>
    <row r="5" spans="1:20" ht="14.5" x14ac:dyDescent="0.35">
      <c r="A5" t="str">
        <f>Texte!A43</f>
        <v>070</v>
      </c>
      <c r="B5" t="str">
        <f>VLOOKUP(Tabelle_Abfrage_von_MS_Access_Database4[[#This Row],[LAND]],Texte!$A$4:$C$261,Texte!$A$1+1,FALSE)</f>
        <v>Albanien</v>
      </c>
      <c r="C5">
        <v>3</v>
      </c>
      <c r="D5" s="11"/>
      <c r="E5" s="11" t="e">
        <f>LOOKUP(D5,Land_Wert,Tabelle_Abfrage_von_MS_Access_Database4[Partnerland])</f>
        <v>#N/A</v>
      </c>
      <c r="H5" s="29" t="s">
        <v>510</v>
      </c>
      <c r="I5" s="29" t="s">
        <v>578</v>
      </c>
      <c r="M5" s="29" t="s">
        <v>510</v>
      </c>
      <c r="N5" s="29" t="s">
        <v>578</v>
      </c>
      <c r="R5" t="str">
        <f>IF(Texte!$A$1=2,"Foreign trade " &amp; Einheit_Text,"Außenhandelsergebnisse " &amp; Einheit_Text)</f>
        <v>Außenhandelsergebnisse in 1000 Euro</v>
      </c>
    </row>
    <row r="6" spans="1:20" ht="14.5" x14ac:dyDescent="0.35">
      <c r="A6" t="str">
        <f>Texte!A65</f>
        <v>208</v>
      </c>
      <c r="B6" t="str">
        <f>VLOOKUP(Tabelle_Abfrage_von_MS_Access_Database4[[#This Row],[LAND]],Texte!$A$4:$C$261,Texte!$A$1+1,FALSE)</f>
        <v>Algerien</v>
      </c>
      <c r="C6">
        <v>4</v>
      </c>
      <c r="D6" s="11"/>
      <c r="E6" s="11" t="e">
        <f>LOOKUP(D6,Land_Wert,Tabelle_Abfrage_von_MS_Access_Database4[Partnerland])</f>
        <v>#N/A</v>
      </c>
      <c r="H6" s="29" t="s">
        <v>511</v>
      </c>
      <c r="I6" s="29" t="s">
        <v>578</v>
      </c>
      <c r="M6" s="29" t="s">
        <v>511</v>
      </c>
      <c r="N6" s="29" t="s">
        <v>578</v>
      </c>
    </row>
    <row r="7" spans="1:20" ht="14.5" x14ac:dyDescent="0.35">
      <c r="A7" t="str">
        <f>Texte!A143</f>
        <v>457</v>
      </c>
      <c r="B7" t="str">
        <f>VLOOKUP(Tabelle_Abfrage_von_MS_Access_Database4[[#This Row],[LAND]],Texte!$A$4:$C$261,Texte!$A$1+1,FALSE)</f>
        <v>Amerik.Jungferninseln</v>
      </c>
      <c r="C7">
        <v>5</v>
      </c>
      <c r="D7" s="11"/>
      <c r="E7" s="11" t="e">
        <f>LOOKUP(D7,Land_Wert,Tabelle_Abfrage_von_MS_Access_Database4[Partnerland])</f>
        <v>#N/A</v>
      </c>
      <c r="H7" s="29" t="s">
        <v>512</v>
      </c>
      <c r="I7" s="29" t="s">
        <v>578</v>
      </c>
      <c r="M7" s="29" t="s">
        <v>512</v>
      </c>
      <c r="N7" s="29" t="s">
        <v>578</v>
      </c>
      <c r="R7" t="s">
        <v>579</v>
      </c>
      <c r="S7" t="s">
        <v>543</v>
      </c>
    </row>
    <row r="8" spans="1:20" ht="14.5" x14ac:dyDescent="0.35">
      <c r="A8" t="str">
        <f>Texte!A227</f>
        <v>810</v>
      </c>
      <c r="B8" t="str">
        <f>VLOOKUP(Tabelle_Abfrage_von_MS_Access_Database4[[#This Row],[LAND]],Texte!$A$4:$C$261,Texte!$A$1+1,FALSE)</f>
        <v>Amerik.-Ozeanien</v>
      </c>
      <c r="C8">
        <v>6</v>
      </c>
      <c r="D8" s="11"/>
      <c r="E8" s="11" t="e">
        <f>LOOKUP(D8,Land_Wert,Tabelle_Abfrage_von_MS_Access_Database4[Partnerland])</f>
        <v>#N/A</v>
      </c>
      <c r="H8" s="29" t="s">
        <v>513</v>
      </c>
      <c r="I8" s="29" t="s">
        <v>578</v>
      </c>
      <c r="M8" s="29" t="s">
        <v>513</v>
      </c>
      <c r="N8" s="29" t="s">
        <v>578</v>
      </c>
      <c r="R8" t="str">
        <f>VLOOKUP(TEXT(Auswahl_Jahr,"####"),Tabelle_Abfrage_von_MS_Access_Database_1[[Jahr]:[Status]],2,FALSE)</f>
        <v>v</v>
      </c>
      <c r="S8" t="str">
        <f>VLOOKUP(TEXT(Auswahl_Jahr,"####"),Tabelle_Abfrage_von_MS_Access_Database_1[[Jahr]:[Status]],1,FALSE)</f>
        <v>2023</v>
      </c>
      <c r="T8" t="str">
        <f>IF(Texte!$A$1=2,IF(R8="e","final data",IF(R8="v","preliminary data")),IF(R8="e","endgültige Daten",IF(R8="v","vorläufige Daten")))</f>
        <v>vorläufige Daten</v>
      </c>
    </row>
    <row r="9" spans="1:20" ht="14.5" x14ac:dyDescent="0.35">
      <c r="A9" t="str">
        <f>Texte!A241</f>
        <v>830</v>
      </c>
      <c r="B9" t="str">
        <f>VLOOKUP(Tabelle_Abfrage_von_MS_Access_Database4[[#This Row],[LAND]],Texte!$A$4:$C$261,Texte!$A$1+1,FALSE)</f>
        <v>Amerikanisch-Samoa</v>
      </c>
      <c r="C9">
        <v>7</v>
      </c>
      <c r="D9" s="11"/>
      <c r="E9" s="11" t="e">
        <f>LOOKUP(D9,Land_Wert,Tabelle_Abfrage_von_MS_Access_Database4[Partnerland])</f>
        <v>#N/A</v>
      </c>
      <c r="H9" s="29" t="s">
        <v>514</v>
      </c>
      <c r="I9" s="29" t="s">
        <v>578</v>
      </c>
      <c r="M9" s="29" t="s">
        <v>514</v>
      </c>
      <c r="N9" s="29" t="s">
        <v>578</v>
      </c>
    </row>
    <row r="10" spans="1:20" ht="14.5" x14ac:dyDescent="0.35">
      <c r="A10" t="str">
        <f>Texte!A28</f>
        <v>043</v>
      </c>
      <c r="B10" t="str">
        <f>VLOOKUP(Tabelle_Abfrage_von_MS_Access_Database4[[#This Row],[LAND]],Texte!$A$4:$C$261,Texte!$A$1+1,FALSE)</f>
        <v>Andorra</v>
      </c>
      <c r="C10">
        <v>8</v>
      </c>
      <c r="D10" s="11"/>
      <c r="E10" s="11" t="e">
        <f>LOOKUP(D10,Land_Wert,Tabelle_Abfrage_von_MS_Access_Database4[Partnerland])</f>
        <v>#N/A</v>
      </c>
      <c r="H10" s="29" t="s">
        <v>515</v>
      </c>
      <c r="I10" s="29" t="s">
        <v>578</v>
      </c>
      <c r="M10" s="29" t="s">
        <v>515</v>
      </c>
      <c r="N10" s="29" t="s">
        <v>578</v>
      </c>
      <c r="R10" t="s">
        <v>752</v>
      </c>
    </row>
    <row r="11" spans="1:20" ht="14.5" x14ac:dyDescent="0.35">
      <c r="A11" t="str">
        <f>Texte!A99</f>
        <v>330</v>
      </c>
      <c r="B11" t="str">
        <f>VLOOKUP(Tabelle_Abfrage_von_MS_Access_Database4[[#This Row],[LAND]],Texte!$A$4:$C$261,Texte!$A$1+1,FALSE)</f>
        <v>Angola</v>
      </c>
      <c r="C11">
        <v>9</v>
      </c>
      <c r="D11" s="11"/>
      <c r="E11" s="11" t="e">
        <f>LOOKUP(D11,Land_Wert,Tabelle_Abfrage_von_MS_Access_Database4[Partnerland])</f>
        <v>#N/A</v>
      </c>
      <c r="H11" s="29" t="s">
        <v>516</v>
      </c>
      <c r="I11" s="29" t="s">
        <v>578</v>
      </c>
      <c r="M11" s="29" t="s">
        <v>516</v>
      </c>
      <c r="N11" s="29" t="s">
        <v>578</v>
      </c>
      <c r="R11" t="str">
        <f>IF(Texte!$A$1=2,"Change to previous year (in %)","Veränderung in % zum Vorjahr")</f>
        <v>Veränderung in % zum Vorjahr</v>
      </c>
    </row>
    <row r="12" spans="1:20" ht="14.5" x14ac:dyDescent="0.35">
      <c r="A12" t="str">
        <f>Texte!A136</f>
        <v>446</v>
      </c>
      <c r="B12" t="str">
        <f>VLOOKUP(Tabelle_Abfrage_von_MS_Access_Database4[[#This Row],[LAND]],Texte!$A$4:$C$261,Texte!$A$1+1,FALSE)</f>
        <v>Anguilla</v>
      </c>
      <c r="C12">
        <v>10</v>
      </c>
      <c r="D12" s="11"/>
      <c r="E12" s="11" t="e">
        <f>LOOKUP(D12,Land_Wert,Tabelle_Abfrage_von_MS_Access_Database4[Partnerland])</f>
        <v>#N/A</v>
      </c>
      <c r="H12" s="29" t="s">
        <v>517</v>
      </c>
      <c r="I12" s="29" t="s">
        <v>578</v>
      </c>
      <c r="M12" s="29" t="s">
        <v>517</v>
      </c>
      <c r="N12" s="29" t="s">
        <v>578</v>
      </c>
    </row>
    <row r="13" spans="1:20" ht="14.5" x14ac:dyDescent="0.35">
      <c r="A13" t="str">
        <f>Texte!A252</f>
        <v>891</v>
      </c>
      <c r="B13" t="str">
        <f>VLOOKUP(Tabelle_Abfrage_von_MS_Access_Database4[[#This Row],[LAND]],Texte!$A$4:$C$261,Texte!$A$1+1,FALSE)</f>
        <v>Antarktis</v>
      </c>
      <c r="C13">
        <v>11</v>
      </c>
      <c r="D13" s="11"/>
      <c r="E13" s="11" t="e">
        <f>LOOKUP(D13,Land_Wert,Tabelle_Abfrage_von_MS_Access_Database4[Partnerland])</f>
        <v>#N/A</v>
      </c>
      <c r="H13" s="29" t="s">
        <v>518</v>
      </c>
      <c r="I13" s="29" t="s">
        <v>578</v>
      </c>
      <c r="M13" s="29" t="s">
        <v>518</v>
      </c>
      <c r="N13" s="29" t="s">
        <v>578</v>
      </c>
      <c r="R13" t="s">
        <v>753</v>
      </c>
    </row>
    <row r="14" spans="1:20" ht="14.5" x14ac:dyDescent="0.35">
      <c r="A14" t="str">
        <f>Texte!A145</f>
        <v>459</v>
      </c>
      <c r="B14" t="str">
        <f>VLOOKUP(Tabelle_Abfrage_von_MS_Access_Database4[[#This Row],[LAND]],Texte!$A$4:$C$261,Texte!$A$1+1,FALSE)</f>
        <v>Antigua und Barbuda</v>
      </c>
      <c r="C14">
        <v>12</v>
      </c>
      <c r="D14" s="11"/>
      <c r="E14" s="11" t="e">
        <f>LOOKUP(D14,Land_Wert,Tabelle_Abfrage_von_MS_Access_Database4[Partnerland])</f>
        <v>#N/A</v>
      </c>
      <c r="H14" s="29" t="s">
        <v>519</v>
      </c>
      <c r="I14" s="29" t="s">
        <v>578</v>
      </c>
      <c r="M14" s="29" t="s">
        <v>519</v>
      </c>
      <c r="N14" s="29" t="s">
        <v>578</v>
      </c>
      <c r="R14" t="str">
        <f>IF(Texte!$A$1=2,"Exports trend - index","Exportentwicklung - Index")</f>
        <v>Exportentwicklung - Index</v>
      </c>
    </row>
    <row r="15" spans="1:20" ht="14.5" x14ac:dyDescent="0.35">
      <c r="A15" t="str">
        <f>Texte!A91</f>
        <v>310</v>
      </c>
      <c r="B15" t="str">
        <f>VLOOKUP(Tabelle_Abfrage_von_MS_Access_Database4[[#This Row],[LAND]],Texte!$A$4:$C$261,Texte!$A$1+1,FALSE)</f>
        <v>Äquatorialguinea</v>
      </c>
      <c r="C15">
        <v>13</v>
      </c>
      <c r="D15" s="11"/>
      <c r="E15" s="11" t="e">
        <f>LOOKUP(D15,Land_Wert,Tabelle_Abfrage_von_MS_Access_Database4[Partnerland])</f>
        <v>#N/A</v>
      </c>
      <c r="H15" s="29" t="s">
        <v>520</v>
      </c>
      <c r="I15" s="29" t="s">
        <v>578</v>
      </c>
      <c r="M15" s="29" t="s">
        <v>520</v>
      </c>
      <c r="N15" s="29" t="s">
        <v>578</v>
      </c>
    </row>
    <row r="16" spans="1:20" ht="14.5" x14ac:dyDescent="0.35">
      <c r="A16" t="str">
        <f>Texte!A175</f>
        <v>528</v>
      </c>
      <c r="B16" t="str">
        <f>VLOOKUP(Tabelle_Abfrage_von_MS_Access_Database4[[#This Row],[LAND]],Texte!$A$4:$C$261,Texte!$A$1+1,FALSE)</f>
        <v>Argentinien</v>
      </c>
      <c r="C16">
        <v>14</v>
      </c>
      <c r="D16" s="11"/>
      <c r="E16" s="11" t="e">
        <f>LOOKUP(D16,Land_Wert,Tabelle_Abfrage_von_MS_Access_Database4[Partnerland])</f>
        <v>#N/A</v>
      </c>
      <c r="H16" s="29" t="s">
        <v>521</v>
      </c>
      <c r="I16" s="29" t="s">
        <v>578</v>
      </c>
      <c r="M16" s="29" t="s">
        <v>521</v>
      </c>
      <c r="N16" s="29" t="s">
        <v>578</v>
      </c>
      <c r="R16" t="s">
        <v>754</v>
      </c>
    </row>
    <row r="17" spans="1:18" ht="14.5" x14ac:dyDescent="0.35">
      <c r="A17" t="str">
        <f>Texte!A49</f>
        <v>077</v>
      </c>
      <c r="B17" t="str">
        <f>VLOOKUP(Tabelle_Abfrage_von_MS_Access_Database4[[#This Row],[LAND]],Texte!$A$4:$C$261,Texte!$A$1+1,FALSE)</f>
        <v>Armenien</v>
      </c>
      <c r="C17">
        <v>15</v>
      </c>
      <c r="D17" s="11"/>
      <c r="E17" s="11" t="e">
        <f>LOOKUP(D17,Land_Wert,Tabelle_Abfrage_von_MS_Access_Database4[Partnerland])</f>
        <v>#N/A</v>
      </c>
      <c r="H17" s="29" t="s">
        <v>522</v>
      </c>
      <c r="I17" s="29" t="s">
        <v>578</v>
      </c>
      <c r="M17" s="29" t="s">
        <v>522</v>
      </c>
      <c r="N17" s="29" t="s">
        <v>578</v>
      </c>
      <c r="R17" t="str">
        <f>IF(Texte!$A$1=2,"Imports trend - index","Importentwicklung - Index")</f>
        <v>Importentwicklung - Index</v>
      </c>
    </row>
    <row r="18" spans="1:18" ht="14.5" x14ac:dyDescent="0.35">
      <c r="A18" t="str">
        <f>Texte!A158</f>
        <v>474</v>
      </c>
      <c r="B18" t="str">
        <f>VLOOKUP(Tabelle_Abfrage_von_MS_Access_Database4[[#This Row],[LAND]],Texte!$A$4:$C$261,Texte!$A$1+1,FALSE)</f>
        <v>Aruba</v>
      </c>
      <c r="C18">
        <v>16</v>
      </c>
      <c r="D18" s="11"/>
      <c r="E18" s="11" t="e">
        <f>LOOKUP(D18,Land_Wert,Tabelle_Abfrage_von_MS_Access_Database4[Partnerland])</f>
        <v>#N/A</v>
      </c>
      <c r="H18" s="29" t="s">
        <v>523</v>
      </c>
      <c r="I18" s="29" t="s">
        <v>578</v>
      </c>
      <c r="M18" s="29" t="s">
        <v>523</v>
      </c>
      <c r="N18" s="29" t="s">
        <v>578</v>
      </c>
    </row>
    <row r="19" spans="1:18" ht="14.5" x14ac:dyDescent="0.35">
      <c r="A19" t="str">
        <f>Texte!A50</f>
        <v>078</v>
      </c>
      <c r="B19" t="str">
        <f>VLOOKUP(Tabelle_Abfrage_von_MS_Access_Database4[[#This Row],[LAND]],Texte!$A$4:$C$261,Texte!$A$1+1,FALSE)</f>
        <v>Aserbaidschan</v>
      </c>
      <c r="C19">
        <v>17</v>
      </c>
      <c r="D19" s="11"/>
      <c r="E19" s="11" t="e">
        <f>LOOKUP(D19,Land_Wert,Tabelle_Abfrage_von_MS_Access_Database4[Partnerland])</f>
        <v>#N/A</v>
      </c>
      <c r="H19" s="29" t="s">
        <v>524</v>
      </c>
      <c r="I19" s="29" t="s">
        <v>578</v>
      </c>
      <c r="M19" s="29" t="s">
        <v>524</v>
      </c>
      <c r="N19" s="29" t="s">
        <v>578</v>
      </c>
      <c r="R19" t="s">
        <v>755</v>
      </c>
    </row>
    <row r="20" spans="1:18" ht="14.5" x14ac:dyDescent="0.35">
      <c r="A20" t="str">
        <f>Texte!A100</f>
        <v>334</v>
      </c>
      <c r="B20" t="str">
        <f>VLOOKUP(Tabelle_Abfrage_von_MS_Access_Database4[[#This Row],[LAND]],Texte!$A$4:$C$261,Texte!$A$1+1,FALSE)</f>
        <v>Äthiopien</v>
      </c>
      <c r="C20">
        <v>18</v>
      </c>
      <c r="D20" s="11"/>
      <c r="E20" s="11" t="e">
        <f>LOOKUP(D20,Land_Wert,Tabelle_Abfrage_von_MS_Access_Database4[Partnerland])</f>
        <v>#N/A</v>
      </c>
      <c r="H20" s="29" t="s">
        <v>525</v>
      </c>
      <c r="I20" s="29" t="s">
        <v>578</v>
      </c>
      <c r="M20" s="29" t="s">
        <v>525</v>
      </c>
      <c r="N20" s="29" t="s">
        <v>578</v>
      </c>
      <c r="R20" s="34" t="str">
        <f>IF(Texte!$A$1=2,"Austrian Foreign Trade:","Information zum Außenhandel Österreichs:")</f>
        <v>Information zum Außenhandel Österreichs:</v>
      </c>
    </row>
    <row r="21" spans="1:18" ht="14.5" x14ac:dyDescent="0.35">
      <c r="A21" t="str">
        <f>Texte!A221</f>
        <v>802</v>
      </c>
      <c r="B21" t="str">
        <f>VLOOKUP(Tabelle_Abfrage_von_MS_Access_Database4[[#This Row],[LAND]],Texte!$A$4:$C$261,Texte!$A$1+1,FALSE)</f>
        <v>Austral.Ozeanien</v>
      </c>
      <c r="C21">
        <v>19</v>
      </c>
      <c r="D21" s="11"/>
      <c r="E21" s="11" t="e">
        <f>LOOKUP(D21,Land_Wert,Tabelle_Abfrage_von_MS_Access_Database4[Partnerland])</f>
        <v>#N/A</v>
      </c>
      <c r="H21" s="29" t="s">
        <v>526</v>
      </c>
      <c r="I21" s="29" t="s">
        <v>578</v>
      </c>
      <c r="M21" s="29" t="s">
        <v>526</v>
      </c>
      <c r="N21" s="29" t="s">
        <v>578</v>
      </c>
      <c r="R21" s="6" t="str">
        <f>IF(Texte!$A$1=2,"Austrian foreign trade statistics deal with cross-border trade between Austria and countries abroad. In the context of foreign trade statistics,","Gegenstand der Außenhandelsstatistik Österreichs ist der grenzüberschreitende Warenverkehr des Erhebungsgebietes mit dem Ausland. Ausland im Sinne der")</f>
        <v>Gegenstand der Außenhandelsstatistik Österreichs ist der grenzüberschreitende Warenverkehr des Erhebungsgebietes mit dem Ausland. Ausland im Sinne der</v>
      </c>
    </row>
    <row r="22" spans="1:18" ht="14.5" x14ac:dyDescent="0.35">
      <c r="A22" t="str">
        <f>Texte!A219</f>
        <v>800</v>
      </c>
      <c r="B22" t="str">
        <f>VLOOKUP(Tabelle_Abfrage_von_MS_Access_Database4[[#This Row],[LAND]],Texte!$A$4:$C$261,Texte!$A$1+1,FALSE)</f>
        <v>Australien</v>
      </c>
      <c r="C22">
        <v>20</v>
      </c>
      <c r="D22" s="11"/>
      <c r="E22" s="11" t="e">
        <f>LOOKUP(D22,Land_Wert,Tabelle_Abfrage_von_MS_Access_Database4[Partnerland])</f>
        <v>#N/A</v>
      </c>
      <c r="H22" s="29" t="s">
        <v>527</v>
      </c>
      <c r="I22" s="29" t="s">
        <v>578</v>
      </c>
      <c r="M22" s="29" t="s">
        <v>527</v>
      </c>
      <c r="N22" s="29" t="s">
        <v>578</v>
      </c>
      <c r="R22" s="6" t="str">
        <f>IF(Texte!$A$1=2,"“abroad” refers to any area outside of Austria.","Außenhandelsstatistik ist das Gebiet außerhalb des Erhebungsgebietes.")</f>
        <v>Außenhandelsstatistik ist das Gebiet außerhalb des Erhebungsgebietes.</v>
      </c>
    </row>
    <row r="23" spans="1:18" ht="14.5" x14ac:dyDescent="0.35">
      <c r="A23" t="str">
        <f>Texte!A140</f>
        <v>453</v>
      </c>
      <c r="B23" t="str">
        <f>VLOOKUP(Tabelle_Abfrage_von_MS_Access_Database4[[#This Row],[LAND]],Texte!$A$4:$C$261,Texte!$A$1+1,FALSE)</f>
        <v>Bahamas</v>
      </c>
      <c r="C23">
        <v>21</v>
      </c>
      <c r="D23" s="11"/>
      <c r="E23" s="11" t="e">
        <f>LOOKUP(D23,Land_Wert,Tabelle_Abfrage_von_MS_Access_Database4[Partnerland])</f>
        <v>#N/A</v>
      </c>
      <c r="H23" s="29" t="s">
        <v>528</v>
      </c>
      <c r="I23" s="29" t="s">
        <v>578</v>
      </c>
      <c r="M23" s="29" t="s">
        <v>528</v>
      </c>
      <c r="N23" s="29" t="s">
        <v>578</v>
      </c>
      <c r="R23" s="6" t="str">
        <f>IF(Texte!$A$1=2,"As a result of differing data collection systems, a distinction has been made between trade with member states of the European Union (intra-trade) and trade ","Ab 1995 werden aufgrund unterschiedlicher Erhebungssysteme zwischen Warenverkehren mit Mitgliedstaaten der Europäischen Union (Intrahandel) und Waren-")</f>
        <v>Ab 1995 werden aufgrund unterschiedlicher Erhebungssysteme zwischen Warenverkehren mit Mitgliedstaaten der Europäischen Union (Intrahandel) und Waren-</v>
      </c>
    </row>
    <row r="24" spans="1:18" ht="14.5" x14ac:dyDescent="0.35">
      <c r="A24" t="str">
        <f>Texte!A188</f>
        <v>640</v>
      </c>
      <c r="B24" t="str">
        <f>VLOOKUP(Tabelle_Abfrage_von_MS_Access_Database4[[#This Row],[LAND]],Texte!$A$4:$C$261,Texte!$A$1+1,FALSE)</f>
        <v>Bahrain</v>
      </c>
      <c r="C24">
        <v>22</v>
      </c>
      <c r="D24" s="11"/>
      <c r="E24" s="11" t="e">
        <f>LOOKUP(D24,Land_Wert,Tabelle_Abfrage_von_MS_Access_Database4[Partnerland])</f>
        <v>#N/A</v>
      </c>
      <c r="H24" s="29" t="s">
        <v>529</v>
      </c>
      <c r="I24" s="29" t="s">
        <v>578</v>
      </c>
      <c r="M24" s="29" t="s">
        <v>529</v>
      </c>
      <c r="N24" s="29" t="s">
        <v>578</v>
      </c>
      <c r="R24" s="6" t="str">
        <f>IF(Texte!$A$1=2,"with third countries (extra-trade) from 1995 onwards. Since 1995, statistics concerning trade with EU member states have been compiled using the INTRASTAT ","verkehren mit den übrigen Staaten (Extrahandel) unterschieden. Die statistische Erfassung des Handels mit den EU Mitgliedstaaten erfolgt seit diesem Zeitpunkt durch")</f>
        <v>verkehren mit den übrigen Staaten (Extrahandel) unterschieden. Die statistische Erfassung des Handels mit den EU Mitgliedstaaten erfolgt seit diesem Zeitpunkt durch</v>
      </c>
    </row>
    <row r="25" spans="1:18" ht="14.5" x14ac:dyDescent="0.35">
      <c r="A25" t="str">
        <f>Texte!A196</f>
        <v>666</v>
      </c>
      <c r="B25" t="str">
        <f>VLOOKUP(Tabelle_Abfrage_von_MS_Access_Database4[[#This Row],[LAND]],Texte!$A$4:$C$261,Texte!$A$1+1,FALSE)</f>
        <v>Bangladesch</v>
      </c>
      <c r="C25">
        <v>23</v>
      </c>
      <c r="D25" s="11"/>
      <c r="E25" s="11" t="e">
        <f>LOOKUP(D25,Land_Wert,Tabelle_Abfrage_von_MS_Access_Database4[Partnerland])</f>
        <v>#N/A</v>
      </c>
      <c r="H25" s="29" t="s">
        <v>530</v>
      </c>
      <c r="I25" s="29" t="s">
        <v>578</v>
      </c>
      <c r="M25" s="29" t="s">
        <v>530</v>
      </c>
      <c r="N25" s="29" t="s">
        <v>578</v>
      </c>
      <c r="R25" s="6" t="str">
        <f>IF(Texte!$A$1=2,"primary data collection system, while those relating to trade with non-EU countries (EXTRASTAT) are still compiled in conjunction with customs procedures.","das Primärerhebungssystem INTRASTAT, während jene des Handels mit den Drittstaaten (EXTRASTAT) weiterhin im Rahmen des Zollverfahrens erfolgt.")</f>
        <v>das Primärerhebungssystem INTRASTAT, während jene des Handels mit den Drittstaaten (EXTRASTAT) weiterhin im Rahmen des Zollverfahrens erfolgt.</v>
      </c>
    </row>
    <row r="26" spans="1:18" ht="14.5" x14ac:dyDescent="0.35">
      <c r="A26" t="str">
        <f>Texte!A154</f>
        <v>469</v>
      </c>
      <c r="B26" t="str">
        <f>VLOOKUP(Tabelle_Abfrage_von_MS_Access_Database4[[#This Row],[LAND]],Texte!$A$4:$C$261,Texte!$A$1+1,FALSE)</f>
        <v>Barbados</v>
      </c>
      <c r="C26">
        <v>24</v>
      </c>
      <c r="D26" s="11"/>
      <c r="E26" s="11" t="e">
        <f>LOOKUP(D26,Land_Wert,Tabelle_Abfrage_von_MS_Access_Database4[Partnerland])</f>
        <v>#N/A</v>
      </c>
      <c r="H26" s="29" t="s">
        <v>531</v>
      </c>
      <c r="I26" s="29" t="s">
        <v>578</v>
      </c>
      <c r="M26" s="29" t="s">
        <v>531</v>
      </c>
      <c r="N26" s="29" t="s">
        <v>578</v>
      </c>
    </row>
    <row r="27" spans="1:18" ht="14.5" x14ac:dyDescent="0.35">
      <c r="A27" t="str">
        <f>Texte!A15</f>
        <v>017</v>
      </c>
      <c r="B27" t="str">
        <f>VLOOKUP(Tabelle_Abfrage_von_MS_Access_Database4[[#This Row],[LAND]],Texte!$A$4:$C$261,Texte!$A$1+1,FALSE)</f>
        <v>Belgien</v>
      </c>
      <c r="C27">
        <v>25</v>
      </c>
      <c r="D27" s="11"/>
      <c r="E27" s="12" t="e">
        <f>LOOKUP(D27,Land_Wert,Tabelle_Abfrage_von_MS_Access_Database4[Partnerland])</f>
        <v>#N/A</v>
      </c>
      <c r="H27" s="29" t="s">
        <v>532</v>
      </c>
      <c r="I27" s="29" t="s">
        <v>578</v>
      </c>
      <c r="M27" s="29" t="s">
        <v>532</v>
      </c>
      <c r="N27" s="29" t="s">
        <v>578</v>
      </c>
    </row>
    <row r="28" spans="1:18" ht="14.5" x14ac:dyDescent="0.35">
      <c r="A28" t="str">
        <f>Texte!A5</f>
        <v>002</v>
      </c>
      <c r="B28" t="str">
        <f>VLOOKUP(Tabelle_Abfrage_von_MS_Access_Database4[[#This Row],[LAND]],Texte!$A$4:$C$261,Texte!$A$1+1,FALSE)</f>
        <v>Belgien und Luxemburg</v>
      </c>
      <c r="C28">
        <v>26</v>
      </c>
      <c r="D28" s="11"/>
      <c r="E28" s="12" t="e">
        <f>LOOKUP(D28,Land_Wert,Tabelle_Abfrage_von_MS_Access_Database4[Partnerland])</f>
        <v>#N/A</v>
      </c>
      <c r="H28" s="29" t="s">
        <v>533</v>
      </c>
      <c r="I28" s="29" t="s">
        <v>578</v>
      </c>
      <c r="M28" s="29" t="s">
        <v>533</v>
      </c>
      <c r="N28" s="29" t="s">
        <v>578</v>
      </c>
    </row>
    <row r="29" spans="1:18" ht="14.5" x14ac:dyDescent="0.35">
      <c r="A29" t="str">
        <f>Texte!A130</f>
        <v>421</v>
      </c>
      <c r="B29" t="str">
        <f>VLOOKUP(Tabelle_Abfrage_von_MS_Access_Database4[[#This Row],[LAND]],Texte!$A$4:$C$261,Texte!$A$1+1,FALSE)</f>
        <v>Belize</v>
      </c>
      <c r="C29">
        <v>27</v>
      </c>
      <c r="D29" s="11"/>
      <c r="E29" s="11" t="e">
        <f>LOOKUP(D29,Land_Wert,Tabelle_Abfrage_von_MS_Access_Database4[Partnerland])</f>
        <v>#N/A</v>
      </c>
      <c r="H29" s="29" t="s">
        <v>534</v>
      </c>
      <c r="I29" s="29" t="s">
        <v>578</v>
      </c>
      <c r="M29" s="29" t="s">
        <v>534</v>
      </c>
      <c r="N29" s="29" t="s">
        <v>578</v>
      </c>
    </row>
    <row r="30" spans="1:18" ht="14.5" x14ac:dyDescent="0.35">
      <c r="A30" t="str">
        <f>Texte!A87</f>
        <v>284</v>
      </c>
      <c r="B30" t="str">
        <f>VLOOKUP(Tabelle_Abfrage_von_MS_Access_Database4[[#This Row],[LAND]],Texte!$A$4:$C$261,Texte!$A$1+1,FALSE)</f>
        <v>Benin</v>
      </c>
      <c r="C30">
        <v>28</v>
      </c>
      <c r="D30" s="11"/>
      <c r="E30" s="11" t="e">
        <f>LOOKUP(D30,Land_Wert,Tabelle_Abfrage_von_MS_Access_Database4[Partnerland])</f>
        <v>#N/A</v>
      </c>
      <c r="H30" s="29" t="s">
        <v>535</v>
      </c>
      <c r="I30" s="29" t="s">
        <v>578</v>
      </c>
      <c r="M30" s="29" t="s">
        <v>535</v>
      </c>
      <c r="N30" s="29" t="s">
        <v>578</v>
      </c>
    </row>
    <row r="31" spans="1:18" ht="14.5" x14ac:dyDescent="0.35">
      <c r="A31" t="str">
        <f>Texte!A128</f>
        <v>413</v>
      </c>
      <c r="B31" t="str">
        <f>VLOOKUP(Tabelle_Abfrage_von_MS_Access_Database4[[#This Row],[LAND]],Texte!$A$4:$C$261,Texte!$A$1+1,FALSE)</f>
        <v>Bermuda</v>
      </c>
      <c r="C31">
        <v>29</v>
      </c>
      <c r="D31" s="11"/>
      <c r="E31" s="11" t="e">
        <f>LOOKUP(D31,Land_Wert,Tabelle_Abfrage_von_MS_Access_Database4[Partnerland])</f>
        <v>#N/A</v>
      </c>
      <c r="H31" s="29" t="s">
        <v>536</v>
      </c>
      <c r="I31" s="29" t="s">
        <v>578</v>
      </c>
      <c r="M31" s="29" t="s">
        <v>536</v>
      </c>
      <c r="N31" s="29" t="s">
        <v>578</v>
      </c>
    </row>
    <row r="32" spans="1:18" ht="14.5" x14ac:dyDescent="0.35">
      <c r="A32" t="str">
        <f>Texte!A183</f>
        <v>625</v>
      </c>
      <c r="B32" t="str">
        <f>VLOOKUP(Tabelle_Abfrage_von_MS_Access_Database4[[#This Row],[LAND]],Texte!$A$4:$C$261,Texte!$A$1+1,FALSE)</f>
        <v>Besetzte palästin.Gebiete</v>
      </c>
      <c r="C32">
        <v>30</v>
      </c>
      <c r="D32" s="11"/>
      <c r="E32" s="11" t="e">
        <f>LOOKUP(D32,Land_Wert,Tabelle_Abfrage_von_MS_Access_Database4[Partnerland])</f>
        <v>#N/A</v>
      </c>
      <c r="H32" s="29" t="s">
        <v>537</v>
      </c>
      <c r="I32" s="29" t="s">
        <v>578</v>
      </c>
      <c r="M32" s="29" t="s">
        <v>537</v>
      </c>
      <c r="N32" s="29" t="s">
        <v>578</v>
      </c>
    </row>
    <row r="33" spans="1:14" ht="14.5" x14ac:dyDescent="0.35">
      <c r="A33" t="str">
        <f>Texte!A200</f>
        <v>675</v>
      </c>
      <c r="B33" t="str">
        <f>VLOOKUP(Tabelle_Abfrage_von_MS_Access_Database4[[#This Row],[LAND]],Texte!$A$4:$C$261,Texte!$A$1+1,FALSE)</f>
        <v>Bhutan</v>
      </c>
      <c r="C33">
        <v>31</v>
      </c>
      <c r="D33" s="11"/>
      <c r="E33" s="11" t="e">
        <f>LOOKUP(D33,Land_Wert,Tabelle_Abfrage_von_MS_Access_Database4[Partnerland])</f>
        <v>#N/A</v>
      </c>
      <c r="H33" s="29" t="s">
        <v>538</v>
      </c>
      <c r="I33" s="29" t="s">
        <v>578</v>
      </c>
      <c r="M33" s="29" t="s">
        <v>538</v>
      </c>
      <c r="N33" s="29" t="s">
        <v>578</v>
      </c>
    </row>
    <row r="34" spans="1:14" ht="14.5" x14ac:dyDescent="0.35">
      <c r="A34" t="str">
        <f>Texte!A172</f>
        <v>516</v>
      </c>
      <c r="B34" t="str">
        <f>VLOOKUP(Tabelle_Abfrage_von_MS_Access_Database4[[#This Row],[LAND]],Texte!$A$4:$C$261,Texte!$A$1+1,FALSE)</f>
        <v>Bolivien</v>
      </c>
      <c r="C34">
        <v>32</v>
      </c>
      <c r="D34" s="11"/>
      <c r="E34" s="11" t="e">
        <f>LOOKUP(D34,Land_Wert,Tabelle_Abfrage_von_MS_Access_Database4[Partnerland])</f>
        <v>#N/A</v>
      </c>
      <c r="H34" s="29" t="s">
        <v>539</v>
      </c>
      <c r="I34" s="29" t="s">
        <v>578</v>
      </c>
      <c r="M34" s="29" t="s">
        <v>539</v>
      </c>
      <c r="N34" s="29" t="s">
        <v>578</v>
      </c>
    </row>
    <row r="35" spans="1:14" ht="14.5" x14ac:dyDescent="0.35">
      <c r="A35" t="str">
        <f>Texte!A160</f>
        <v>477</v>
      </c>
      <c r="B35" t="str">
        <f>VLOOKUP(Tabelle_Abfrage_von_MS_Access_Database4[[#This Row],[LAND]],Texte!$A$4:$C$261,Texte!$A$1+1,FALSE)</f>
        <v>Bonaire, St.Eust.u.Saba</v>
      </c>
      <c r="C35">
        <v>33</v>
      </c>
      <c r="D35" s="11"/>
      <c r="E35" s="11" t="e">
        <f>LOOKUP(D35,Land_Wert,Tabelle_Abfrage_von_MS_Access_Database4[Partnerland])</f>
        <v>#N/A</v>
      </c>
      <c r="H35" s="29" t="s">
        <v>540</v>
      </c>
      <c r="I35" s="29" t="s">
        <v>578</v>
      </c>
      <c r="M35" s="29" t="s">
        <v>540</v>
      </c>
      <c r="N35" s="29" t="s">
        <v>578</v>
      </c>
    </row>
    <row r="36" spans="1:14" ht="14.5" x14ac:dyDescent="0.35">
      <c r="A36" t="str">
        <f>Texte!A257</f>
        <v>952</v>
      </c>
      <c r="B36" t="str">
        <f>VLOOKUP(Tabelle_Abfrage_von_MS_Access_Database4[[#This Row],[LAND]],Texte!$A$4:$C$261,Texte!$A$1+1,FALSE)</f>
        <v>Bordvorräte Drittstaaten</v>
      </c>
      <c r="C36">
        <v>34</v>
      </c>
      <c r="D36" s="11"/>
      <c r="E36" s="11" t="e">
        <f>LOOKUP(D36,Land_Wert,Tabelle_Abfrage_von_MS_Access_Database4[Partnerland])</f>
        <v>#N/A</v>
      </c>
      <c r="H36" s="29" t="s">
        <v>541</v>
      </c>
      <c r="I36" s="29" t="s">
        <v>578</v>
      </c>
      <c r="M36" s="29" t="s">
        <v>541</v>
      </c>
      <c r="N36" s="29" t="s">
        <v>578</v>
      </c>
    </row>
    <row r="37" spans="1:14" ht="14.5" x14ac:dyDescent="0.35">
      <c r="A37" t="str">
        <f>Texte!A256</f>
        <v>951</v>
      </c>
      <c r="B37" t="str">
        <f>VLOOKUP(Tabelle_Abfrage_von_MS_Access_Database4[[#This Row],[LAND]],Texte!$A$4:$C$261,Texte!$A$1+1,FALSE)</f>
        <v>Bordvorräte EU</v>
      </c>
      <c r="C37">
        <v>35</v>
      </c>
      <c r="D37" s="11"/>
      <c r="E37" s="11" t="e">
        <f>LOOKUP(D37,Land_Wert,Tabelle_Abfrage_von_MS_Access_Database4[Partnerland])</f>
        <v>#N/A</v>
      </c>
      <c r="H37" s="29" t="s">
        <v>542</v>
      </c>
      <c r="I37" s="29" t="s">
        <v>578</v>
      </c>
      <c r="M37" s="29" t="s">
        <v>542</v>
      </c>
      <c r="N37" s="29" t="s">
        <v>578</v>
      </c>
    </row>
    <row r="38" spans="1:14" ht="14.5" x14ac:dyDescent="0.35">
      <c r="A38" t="str">
        <f>Texte!A58</f>
        <v>093</v>
      </c>
      <c r="B38" t="str">
        <f>VLOOKUP(Tabelle_Abfrage_von_MS_Access_Database4[[#This Row],[LAND]],Texte!$A$4:$C$261,Texte!$A$1+1,FALSE)</f>
        <v>Bosnien-Herzegowina</v>
      </c>
      <c r="C38">
        <v>36</v>
      </c>
      <c r="D38" s="11"/>
      <c r="E38" s="11" t="e">
        <f>LOOKUP(D38,Land_Wert,Tabelle_Abfrage_von_MS_Access_Database4[Partnerland])</f>
        <v>#N/A</v>
      </c>
      <c r="H38" s="29" t="s">
        <v>558</v>
      </c>
      <c r="I38" s="29" t="s">
        <v>578</v>
      </c>
      <c r="M38" s="29" t="s">
        <v>558</v>
      </c>
      <c r="N38" s="29" t="s">
        <v>578</v>
      </c>
    </row>
    <row r="39" spans="1:14" ht="14.5" x14ac:dyDescent="0.35">
      <c r="A39" t="str">
        <f>Texte!A120</f>
        <v>391</v>
      </c>
      <c r="B39" t="str">
        <f>VLOOKUP(Tabelle_Abfrage_von_MS_Access_Database4[[#This Row],[LAND]],Texte!$A$4:$C$261,Texte!$A$1+1,FALSE)</f>
        <v>Botsuana</v>
      </c>
      <c r="C39">
        <v>37</v>
      </c>
      <c r="D39" s="11"/>
      <c r="E39" s="11" t="e">
        <f>LOOKUP(D39,Land_Wert,Tabelle_Abfrage_von_MS_Access_Database4[Partnerland])</f>
        <v>#N/A</v>
      </c>
      <c r="H39" s="29" t="s">
        <v>581</v>
      </c>
      <c r="I39" s="29" t="s">
        <v>578</v>
      </c>
      <c r="M39" s="29" t="s">
        <v>581</v>
      </c>
      <c r="N39" s="29" t="s">
        <v>578</v>
      </c>
    </row>
    <row r="40" spans="1:14" ht="14.5" x14ac:dyDescent="0.35">
      <c r="A40" t="str">
        <f>Texte!A253</f>
        <v>892</v>
      </c>
      <c r="B40" t="str">
        <f>VLOOKUP(Tabelle_Abfrage_von_MS_Access_Database4[[#This Row],[LAND]],Texte!$A$4:$C$261,Texte!$A$1+1,FALSE)</f>
        <v>Bouvetinsel</v>
      </c>
      <c r="C40">
        <v>38</v>
      </c>
      <c r="D40" s="11"/>
      <c r="E40" s="11" t="e">
        <f>LOOKUP(D40,Land_Wert,Tabelle_Abfrage_von_MS_Access_Database4[Partnerland])</f>
        <v>#N/A</v>
      </c>
      <c r="H40" s="29" t="s">
        <v>582</v>
      </c>
      <c r="I40" s="29" t="s">
        <v>578</v>
      </c>
      <c r="M40" s="29" t="s">
        <v>582</v>
      </c>
      <c r="N40" s="29" t="s">
        <v>578</v>
      </c>
    </row>
    <row r="41" spans="1:14" ht="14.5" x14ac:dyDescent="0.35">
      <c r="A41" t="str">
        <f>Texte!A170</f>
        <v>508</v>
      </c>
      <c r="B41" t="str">
        <f>VLOOKUP(Tabelle_Abfrage_von_MS_Access_Database4[[#This Row],[LAND]],Texte!$A$4:$C$261,Texte!$A$1+1,FALSE)</f>
        <v>Brasilien</v>
      </c>
      <c r="C41">
        <v>39</v>
      </c>
      <c r="D41" s="11"/>
      <c r="E41" s="11" t="e">
        <f>LOOKUP(D41,Land_Wert,Tabelle_Abfrage_von_MS_Access_Database4[Partnerland])</f>
        <v>#N/A</v>
      </c>
      <c r="H41" s="29" t="s">
        <v>761</v>
      </c>
      <c r="I41" s="29" t="s">
        <v>578</v>
      </c>
      <c r="M41" s="29" t="s">
        <v>761</v>
      </c>
      <c r="N41" s="29" t="s">
        <v>578</v>
      </c>
    </row>
    <row r="42" spans="1:14" ht="14.5" x14ac:dyDescent="0.35">
      <c r="A42" t="str">
        <f>Texte!A108</f>
        <v>357</v>
      </c>
      <c r="B42" t="str">
        <f>VLOOKUP(Tabelle_Abfrage_von_MS_Access_Database4[[#This Row],[LAND]],Texte!$A$4:$C$261,Texte!$A$1+1,FALSE)</f>
        <v>Brit.Geb.im Ind.Ozean</v>
      </c>
      <c r="C42">
        <v>40</v>
      </c>
      <c r="D42" s="11"/>
      <c r="E42" s="11" t="e">
        <f>LOOKUP(D42,Land_Wert,Tabelle_Abfrage_von_MS_Access_Database4[Partnerland])</f>
        <v>#N/A</v>
      </c>
      <c r="H42" s="29" t="s">
        <v>763</v>
      </c>
      <c r="I42" s="29" t="s">
        <v>578</v>
      </c>
      <c r="M42" s="29" t="s">
        <v>763</v>
      </c>
      <c r="N42" s="29" t="s">
        <v>578</v>
      </c>
    </row>
    <row r="43" spans="1:14" ht="14.5" x14ac:dyDescent="0.35">
      <c r="A43" t="str">
        <f>Texte!A153</f>
        <v>468</v>
      </c>
      <c r="B43" t="str">
        <f>VLOOKUP(Tabelle_Abfrage_von_MS_Access_Database4[[#This Row],[LAND]],Texte!$A$4:$C$261,Texte!$A$1+1,FALSE)</f>
        <v>Britische Jungferinseln</v>
      </c>
      <c r="C43">
        <v>41</v>
      </c>
      <c r="D43" s="11"/>
      <c r="E43" s="11" t="e">
        <f>LOOKUP(D43,Land_Wert,Tabelle_Abfrage_von_MS_Access_Database4[Partnerland])</f>
        <v>#N/A</v>
      </c>
      <c r="H43" s="29" t="s">
        <v>770</v>
      </c>
      <c r="I43" s="29" t="s">
        <v>578</v>
      </c>
      <c r="M43" s="29" t="s">
        <v>770</v>
      </c>
      <c r="N43" s="29" t="s">
        <v>578</v>
      </c>
    </row>
    <row r="44" spans="1:14" ht="14.5" x14ac:dyDescent="0.35">
      <c r="A44" t="str">
        <f>Texte!A208</f>
        <v>703</v>
      </c>
      <c r="B44" t="str">
        <f>VLOOKUP(Tabelle_Abfrage_von_MS_Access_Database4[[#This Row],[LAND]],Texte!$A$4:$C$261,Texte!$A$1+1,FALSE)</f>
        <v>Brunei</v>
      </c>
      <c r="C44">
        <v>42</v>
      </c>
      <c r="D44" s="11"/>
      <c r="E44" s="11" t="e">
        <f>LOOKUP(D44,Land_Wert,Tabelle_Abfrage_von_MS_Access_Database4[Partnerland])</f>
        <v>#N/A</v>
      </c>
      <c r="H44" s="29" t="s">
        <v>772</v>
      </c>
      <c r="I44" s="29" t="s">
        <v>578</v>
      </c>
      <c r="M44" s="29" t="s">
        <v>772</v>
      </c>
      <c r="N44" s="29" t="s">
        <v>578</v>
      </c>
    </row>
    <row r="45" spans="1:14" ht="14.5" x14ac:dyDescent="0.35">
      <c r="A45" t="str">
        <f>Texte!A42</f>
        <v>068</v>
      </c>
      <c r="B45" t="str">
        <f>VLOOKUP(Tabelle_Abfrage_von_MS_Access_Database4[[#This Row],[LAND]],Texte!$A$4:$C$261,Texte!$A$1+1,FALSE)</f>
        <v>Bulgarien</v>
      </c>
      <c r="C45">
        <v>43</v>
      </c>
      <c r="D45" s="11"/>
      <c r="E45" s="11" t="e">
        <f>LOOKUP(D45,Land_Wert,Tabelle_Abfrage_von_MS_Access_Database4[Partnerland])</f>
        <v>#N/A</v>
      </c>
      <c r="H45" s="29" t="s">
        <v>773</v>
      </c>
      <c r="I45" s="29" t="s">
        <v>578</v>
      </c>
      <c r="M45" s="29" t="s">
        <v>773</v>
      </c>
      <c r="N45" s="29" t="s">
        <v>578</v>
      </c>
    </row>
    <row r="46" spans="1:14" ht="14.5" x14ac:dyDescent="0.35">
      <c r="A46" t="str">
        <f>Texte!A74</f>
        <v>236</v>
      </c>
      <c r="B46" t="str">
        <f>VLOOKUP(Tabelle_Abfrage_von_MS_Access_Database4[[#This Row],[LAND]],Texte!$A$4:$C$261,Texte!$A$1+1,FALSE)</f>
        <v>Burkina Faso</v>
      </c>
      <c r="C46">
        <v>44</v>
      </c>
      <c r="D46" s="11"/>
      <c r="E46" s="11" t="e">
        <f>LOOKUP(D46,Land_Wert,Tabelle_Abfrage_von_MS_Access_Database4[Partnerland])</f>
        <v>#N/A</v>
      </c>
      <c r="H46" s="29" t="s">
        <v>774</v>
      </c>
      <c r="I46" s="29" t="s">
        <v>578</v>
      </c>
      <c r="M46" s="29" t="s">
        <v>774</v>
      </c>
      <c r="N46" s="29" t="s">
        <v>578</v>
      </c>
    </row>
    <row r="47" spans="1:14" ht="14.5" x14ac:dyDescent="0.35">
      <c r="A47" t="str">
        <f>Texte!A97</f>
        <v>328</v>
      </c>
      <c r="B47" t="str">
        <f>VLOOKUP(Tabelle_Abfrage_von_MS_Access_Database4[[#This Row],[LAND]],Texte!$A$4:$C$261,Texte!$A$1+1,FALSE)</f>
        <v>Burundi</v>
      </c>
      <c r="C47">
        <v>45</v>
      </c>
      <c r="D47" s="11"/>
      <c r="E47" s="11" t="e">
        <f>LOOKUP(D47,Land_Wert,Tabelle_Abfrage_von_MS_Access_Database4[Partnerland])</f>
        <v>#N/A</v>
      </c>
      <c r="H47" s="29" t="s">
        <v>775</v>
      </c>
      <c r="I47" s="29" t="s">
        <v>578</v>
      </c>
      <c r="M47" s="29" t="s">
        <v>775</v>
      </c>
      <c r="N47" s="29" t="s">
        <v>578</v>
      </c>
    </row>
    <row r="48" spans="1:14" ht="14.5" x14ac:dyDescent="0.35">
      <c r="A48" t="str">
        <f>Texte!A17</f>
        <v>021</v>
      </c>
      <c r="B48" t="str">
        <f>VLOOKUP(Tabelle_Abfrage_von_MS_Access_Database4[[#This Row],[LAND]],Texte!$A$4:$C$261,Texte!$A$1+1,FALSE)</f>
        <v>Ceuta</v>
      </c>
      <c r="C48">
        <v>46</v>
      </c>
      <c r="D48" s="11"/>
      <c r="E48" s="12" t="e">
        <f>LOOKUP(D48,Land_Wert,Tabelle_Abfrage_von_MS_Access_Database4[Partnerland])</f>
        <v>#N/A</v>
      </c>
      <c r="H48" s="29" t="s">
        <v>776</v>
      </c>
      <c r="I48" s="29" t="s">
        <v>777</v>
      </c>
      <c r="M48" s="29" t="s">
        <v>776</v>
      </c>
      <c r="N48" s="29" t="s">
        <v>777</v>
      </c>
    </row>
    <row r="49" spans="1:5" x14ac:dyDescent="0.25">
      <c r="A49" t="str">
        <f>Texte!A18</f>
        <v>022</v>
      </c>
      <c r="B49" t="str">
        <f>VLOOKUP(Tabelle_Abfrage_von_MS_Access_Database4[[#This Row],[LAND]],Texte!$A$4:$C$261,Texte!$A$1+1,FALSE)</f>
        <v>Ceuta u. Melilla</v>
      </c>
      <c r="C49">
        <v>47</v>
      </c>
      <c r="D49" s="11"/>
      <c r="E49" s="12" t="e">
        <f>LOOKUP(D49,Land_Wert,Tabelle_Abfrage_von_MS_Access_Database4[Partnerland])</f>
        <v>#N/A</v>
      </c>
    </row>
    <row r="50" spans="1:5" x14ac:dyDescent="0.25">
      <c r="A50" t="str">
        <f>Texte!A171</f>
        <v>512</v>
      </c>
      <c r="B50" t="str">
        <f>VLOOKUP(Tabelle_Abfrage_von_MS_Access_Database4[[#This Row],[LAND]],Texte!$A$4:$C$261,Texte!$A$1+1,FALSE)</f>
        <v>Chile</v>
      </c>
      <c r="C50">
        <v>48</v>
      </c>
      <c r="D50" s="11"/>
      <c r="E50" s="11" t="e">
        <f>LOOKUP(D50,Land_Wert,Tabelle_Abfrage_von_MS_Access_Database4[Partnerland])</f>
        <v>#N/A</v>
      </c>
    </row>
    <row r="51" spans="1:5" x14ac:dyDescent="0.25">
      <c r="A51" t="str">
        <f>Texte!A212</f>
        <v>720</v>
      </c>
      <c r="B51" t="str">
        <f>VLOOKUP(Tabelle_Abfrage_von_MS_Access_Database4[[#This Row],[LAND]],Texte!$A$4:$C$261,Texte!$A$1+1,FALSE)</f>
        <v>China</v>
      </c>
      <c r="C51">
        <v>49</v>
      </c>
      <c r="D51" s="11"/>
      <c r="E51" s="11" t="e">
        <f>LOOKUP(D51,Land_Wert,Tabelle_Abfrage_von_MS_Access_Database4[Partnerland])</f>
        <v>#N/A</v>
      </c>
    </row>
    <row r="52" spans="1:5" x14ac:dyDescent="0.25">
      <c r="A52" t="str">
        <f>Texte!A248</f>
        <v>837</v>
      </c>
      <c r="B52" t="str">
        <f>VLOOKUP(Tabelle_Abfrage_von_MS_Access_Database4[[#This Row],[LAND]],Texte!$A$4:$C$261,Texte!$A$1+1,FALSE)</f>
        <v>Cookinseln</v>
      </c>
      <c r="C52">
        <v>50</v>
      </c>
      <c r="D52" s="11"/>
      <c r="E52" s="11" t="e">
        <f>LOOKUP(D52,Land_Wert,Tabelle_Abfrage_von_MS_Access_Database4[Partnerland])</f>
        <v>#N/A</v>
      </c>
    </row>
    <row r="53" spans="1:5" x14ac:dyDescent="0.25">
      <c r="A53" t="str">
        <f>Texte!A134</f>
        <v>436</v>
      </c>
      <c r="B53" t="str">
        <f>VLOOKUP(Tabelle_Abfrage_von_MS_Access_Database4[[#This Row],[LAND]],Texte!$A$4:$C$261,Texte!$A$1+1,FALSE)</f>
        <v>Costa Rica</v>
      </c>
      <c r="C53">
        <v>51</v>
      </c>
      <c r="D53" s="11"/>
      <c r="E53" s="11" t="e">
        <f>LOOKUP(D53,Land_Wert,Tabelle_Abfrage_von_MS_Access_Database4[Partnerland])</f>
        <v>#N/A</v>
      </c>
    </row>
    <row r="54" spans="1:5" x14ac:dyDescent="0.25">
      <c r="A54" t="str">
        <f>Texte!A159</f>
        <v>475</v>
      </c>
      <c r="B54" t="str">
        <f>VLOOKUP(Tabelle_Abfrage_von_MS_Access_Database4[[#This Row],[LAND]],Texte!$A$4:$C$261,Texte!$A$1+1,FALSE)</f>
        <v>Curacao</v>
      </c>
      <c r="C54">
        <v>52</v>
      </c>
      <c r="D54" s="11"/>
      <c r="E54" s="11" t="e">
        <f>LOOKUP(D54,Land_Wert,Tabelle_Abfrage_von_MS_Access_Database4[Partnerland])</f>
        <v>#N/A</v>
      </c>
    </row>
    <row r="55" spans="1:5" x14ac:dyDescent="0.25">
      <c r="A55" t="str">
        <f>Texte!A11</f>
        <v>008</v>
      </c>
      <c r="B55" t="str">
        <f>VLOOKUP(Tabelle_Abfrage_von_MS_Access_Database4[[#This Row],[LAND]],Texte!$A$4:$C$261,Texte!$A$1+1,FALSE)</f>
        <v>Dänemark</v>
      </c>
      <c r="C55">
        <v>53</v>
      </c>
      <c r="D55" s="11"/>
      <c r="E55" s="12" t="e">
        <f>LOOKUP(D55,Land_Wert,Tabelle_Abfrage_von_MS_Access_Database4[Partnerland])</f>
        <v>#N/A</v>
      </c>
    </row>
    <row r="56" spans="1:5" x14ac:dyDescent="0.25">
      <c r="A56" t="str">
        <f>Texte!A95</f>
        <v>322</v>
      </c>
      <c r="B56" t="str">
        <f>VLOOKUP(Tabelle_Abfrage_von_MS_Access_Database4[[#This Row],[LAND]],Texte!$A$4:$C$261,Texte!$A$1+1,FALSE)</f>
        <v>Demokrat.Republik Kongo</v>
      </c>
      <c r="C56">
        <v>54</v>
      </c>
      <c r="D56" s="11"/>
      <c r="E56" s="11" t="e">
        <f>LOOKUP(D56,Land_Wert,Tabelle_Abfrage_von_MS_Access_Database4[Partnerland])</f>
        <v>#N/A</v>
      </c>
    </row>
    <row r="57" spans="1:5" x14ac:dyDescent="0.25">
      <c r="A57" t="str">
        <f>Texte!A7</f>
        <v>004</v>
      </c>
      <c r="B57" t="str">
        <f>VLOOKUP(Tabelle_Abfrage_von_MS_Access_Database4[[#This Row],[LAND]],Texte!$A$4:$C$261,Texte!$A$1+1,FALSE)</f>
        <v>Deutschland</v>
      </c>
      <c r="C57">
        <v>55</v>
      </c>
      <c r="D57" s="11"/>
      <c r="E57" s="12" t="e">
        <f>LOOKUP(D57,Land_Wert,Tabelle_Abfrage_von_MS_Access_Database4[Partnerland])</f>
        <v>#N/A</v>
      </c>
    </row>
    <row r="58" spans="1:5" x14ac:dyDescent="0.25">
      <c r="A58" t="str">
        <f>Texte!A146</f>
        <v>460</v>
      </c>
      <c r="B58" t="str">
        <f>VLOOKUP(Tabelle_Abfrage_von_MS_Access_Database4[[#This Row],[LAND]],Texte!$A$4:$C$261,Texte!$A$1+1,FALSE)</f>
        <v>Dominica</v>
      </c>
      <c r="C58">
        <v>56</v>
      </c>
      <c r="D58" s="11"/>
      <c r="E58" s="11" t="e">
        <f>LOOKUP(D58,Land_Wert,Tabelle_Abfrage_von_MS_Access_Database4[Partnerland])</f>
        <v>#N/A</v>
      </c>
    </row>
    <row r="59" spans="1:5" x14ac:dyDescent="0.25">
      <c r="A59" t="str">
        <f>Texte!A142</f>
        <v>456</v>
      </c>
      <c r="B59" t="str">
        <f>VLOOKUP(Tabelle_Abfrage_von_MS_Access_Database4[[#This Row],[LAND]],Texte!$A$4:$C$261,Texte!$A$1+1,FALSE)</f>
        <v>Dominikanische Republik</v>
      </c>
      <c r="C59">
        <v>57</v>
      </c>
      <c r="D59" s="11"/>
      <c r="E59" s="11" t="e">
        <f>LOOKUP(D59,Land_Wert,Tabelle_Abfrage_von_MS_Access_Database4[Partnerland])</f>
        <v>#N/A</v>
      </c>
    </row>
    <row r="60" spans="1:5" x14ac:dyDescent="0.25">
      <c r="A60" t="str">
        <f>Texte!A102</f>
        <v>338</v>
      </c>
      <c r="B60" t="str">
        <f>VLOOKUP(Tabelle_Abfrage_von_MS_Access_Database4[[#This Row],[LAND]],Texte!$A$4:$C$261,Texte!$A$1+1,FALSE)</f>
        <v>Dschibuti</v>
      </c>
      <c r="C60">
        <v>58</v>
      </c>
      <c r="D60" s="11"/>
      <c r="E60" s="11" t="e">
        <f>LOOKUP(D60,Land_Wert,Tabelle_Abfrage_von_MS_Access_Database4[Partnerland])</f>
        <v>#N/A</v>
      </c>
    </row>
    <row r="61" spans="1:5" x14ac:dyDescent="0.25">
      <c r="A61" t="str">
        <f>Texte!A168</f>
        <v>500</v>
      </c>
      <c r="B61" t="str">
        <f>VLOOKUP(Tabelle_Abfrage_von_MS_Access_Database4[[#This Row],[LAND]],Texte!$A$4:$C$261,Texte!$A$1+1,FALSE)</f>
        <v>Ecuador</v>
      </c>
      <c r="C61">
        <v>59</v>
      </c>
      <c r="D61" s="11"/>
      <c r="E61" s="11" t="e">
        <f>LOOKUP(D61,Land_Wert,Tabelle_Abfrage_von_MS_Access_Database4[Partnerland])</f>
        <v>#N/A</v>
      </c>
    </row>
    <row r="62" spans="1:5" x14ac:dyDescent="0.25">
      <c r="A62" t="str">
        <f>Texte!A61</f>
        <v>096</v>
      </c>
      <c r="B62" t="str">
        <f>VLOOKUP(Tabelle_Abfrage_von_MS_Access_Database4[[#This Row],[LAND]],Texte!$A$4:$C$261,Texte!$A$1+1,FALSE)</f>
        <v>Eh.jugosl.Rep.Mazedonien</v>
      </c>
      <c r="C62">
        <v>60</v>
      </c>
      <c r="D62" s="11"/>
      <c r="E62" s="11" t="e">
        <f>LOOKUP(D62,Land_Wert,Tabelle_Abfrage_von_MS_Access_Database4[Partnerland])</f>
        <v>#N/A</v>
      </c>
    </row>
    <row r="63" spans="1:5" x14ac:dyDescent="0.25">
      <c r="A63" t="str">
        <f>Texte!A132</f>
        <v>428</v>
      </c>
      <c r="B63" t="str">
        <f>VLOOKUP(Tabelle_Abfrage_von_MS_Access_Database4[[#This Row],[LAND]],Texte!$A$4:$C$261,Texte!$A$1+1,FALSE)</f>
        <v>El Salvador</v>
      </c>
      <c r="C63">
        <v>61</v>
      </c>
      <c r="D63" s="11"/>
      <c r="E63" s="11" t="e">
        <f>LOOKUP(D63,Land_Wert,Tabelle_Abfrage_von_MS_Access_Database4[Partnerland])</f>
        <v>#N/A</v>
      </c>
    </row>
    <row r="64" spans="1:5" x14ac:dyDescent="0.25">
      <c r="A64" t="str">
        <f>Texte!A84</f>
        <v>272</v>
      </c>
      <c r="B64" t="str">
        <f>VLOOKUP(Tabelle_Abfrage_von_MS_Access_Database4[[#This Row],[LAND]],Texte!$A$4:$C$261,Texte!$A$1+1,FALSE)</f>
        <v>Elfenbeinküste</v>
      </c>
      <c r="C64">
        <v>62</v>
      </c>
      <c r="D64" s="11"/>
      <c r="E64" s="11" t="e">
        <f>LOOKUP(D64,Land_Wert,Tabelle_Abfrage_von_MS_Access_Database4[Partnerland])</f>
        <v>#N/A</v>
      </c>
    </row>
    <row r="65" spans="1:5" x14ac:dyDescent="0.25">
      <c r="A65" t="str">
        <f>Texte!A101</f>
        <v>336</v>
      </c>
      <c r="B65" t="str">
        <f>VLOOKUP(Tabelle_Abfrage_von_MS_Access_Database4[[#This Row],[LAND]],Texte!$A$4:$C$261,Texte!$A$1+1,FALSE)</f>
        <v>Eritrea</v>
      </c>
      <c r="C65">
        <v>63</v>
      </c>
      <c r="D65" s="11"/>
      <c r="E65" s="11" t="e">
        <f>LOOKUP(D65,Land_Wert,Tabelle_Abfrage_von_MS_Access_Database4[Partnerland])</f>
        <v>#N/A</v>
      </c>
    </row>
    <row r="66" spans="1:5" x14ac:dyDescent="0.25">
      <c r="A66" t="str">
        <f>Texte!A34</f>
        <v>053</v>
      </c>
      <c r="B66" t="str">
        <f>VLOOKUP(Tabelle_Abfrage_von_MS_Access_Database4[[#This Row],[LAND]],Texte!$A$4:$C$261,Texte!$A$1+1,FALSE)</f>
        <v>Estland</v>
      </c>
      <c r="C66">
        <v>64</v>
      </c>
      <c r="D66" s="11"/>
      <c r="E66" s="11" t="e">
        <f>LOOKUP(D66,Land_Wert,Tabelle_Abfrage_von_MS_Access_Database4[Partnerland])</f>
        <v>#N/A</v>
      </c>
    </row>
    <row r="67" spans="1:5" x14ac:dyDescent="0.25">
      <c r="A67" t="str">
        <f>Texte!A176</f>
        <v>529</v>
      </c>
      <c r="B67" t="str">
        <f>VLOOKUP(Tabelle_Abfrage_von_MS_Access_Database4[[#This Row],[LAND]],Texte!$A$4:$C$261,Texte!$A$1+1,FALSE)</f>
        <v>Falklandinseln</v>
      </c>
      <c r="C67">
        <v>65</v>
      </c>
      <c r="D67" s="11"/>
      <c r="E67" s="11" t="e">
        <f>LOOKUP(D67,Land_Wert,Tabelle_Abfrage_von_MS_Access_Database4[Partnerland])</f>
        <v>#N/A</v>
      </c>
    </row>
    <row r="68" spans="1:5" x14ac:dyDescent="0.25">
      <c r="A68" t="str">
        <f>Texte!A27</f>
        <v>041</v>
      </c>
      <c r="B68" t="str">
        <f>VLOOKUP(Tabelle_Abfrage_von_MS_Access_Database4[[#This Row],[LAND]],Texte!$A$4:$C$261,Texte!$A$1+1,FALSE)</f>
        <v>Färöerinseln</v>
      </c>
      <c r="C68">
        <v>66</v>
      </c>
      <c r="D68" s="11"/>
      <c r="E68" s="11" t="e">
        <f>LOOKUP(D68,Land_Wert,Tabelle_Abfrage_von_MS_Access_Database4[Partnerland])</f>
        <v>#N/A</v>
      </c>
    </row>
    <row r="69" spans="1:5" x14ac:dyDescent="0.25">
      <c r="A69" t="str">
        <f>Texte!A232</f>
        <v>815</v>
      </c>
      <c r="B69" t="str">
        <f>VLOOKUP(Tabelle_Abfrage_von_MS_Access_Database4[[#This Row],[LAND]],Texte!$A$4:$C$261,Texte!$A$1+1,FALSE)</f>
        <v>Fidschi</v>
      </c>
      <c r="C69">
        <v>67</v>
      </c>
      <c r="D69" s="11"/>
      <c r="E69" s="11" t="e">
        <f>LOOKUP(D69,Land_Wert,Tabelle_Abfrage_von_MS_Access_Database4[Partnerland])</f>
        <v>#N/A</v>
      </c>
    </row>
    <row r="70" spans="1:5" x14ac:dyDescent="0.25">
      <c r="A70" t="str">
        <f>Texte!A24</f>
        <v>032</v>
      </c>
      <c r="B70" t="str">
        <f>VLOOKUP(Tabelle_Abfrage_von_MS_Access_Database4[[#This Row],[LAND]],Texte!$A$4:$C$261,Texte!$A$1+1,FALSE)</f>
        <v>Finnland</v>
      </c>
      <c r="C70">
        <v>68</v>
      </c>
      <c r="D70" s="11"/>
      <c r="E70" s="11" t="e">
        <f>LOOKUP(D70,Land_Wert,Tabelle_Abfrage_von_MS_Access_Database4[Partnerland])</f>
        <v>#N/A</v>
      </c>
    </row>
    <row r="71" spans="1:5" x14ac:dyDescent="0.25">
      <c r="A71" t="str">
        <f>Texte!A238</f>
        <v>823</v>
      </c>
      <c r="B71" t="str">
        <f>VLOOKUP(Tabelle_Abfrage_von_MS_Access_Database4[[#This Row],[LAND]],Texte!$A$4:$C$261,Texte!$A$1+1,FALSE)</f>
        <v>Föd.Mikronesien</v>
      </c>
      <c r="C71">
        <v>69</v>
      </c>
      <c r="D71" s="11"/>
      <c r="E71" s="11" t="e">
        <f>LOOKUP(D71,Land_Wert,Tabelle_Abfrage_von_MS_Access_Database4[Partnerland])</f>
        <v>#N/A</v>
      </c>
    </row>
    <row r="72" spans="1:5" x14ac:dyDescent="0.25">
      <c r="A72" t="str">
        <f>Texte!A4</f>
        <v>001</v>
      </c>
      <c r="B72" t="str">
        <f>VLOOKUP(Tabelle_Abfrage_von_MS_Access_Database4[[#This Row],[LAND]],Texte!$A$4:$C$261,Texte!$A$1+1,FALSE)</f>
        <v>Frankreich</v>
      </c>
      <c r="C72">
        <v>70</v>
      </c>
      <c r="D72" s="5"/>
      <c r="E72" s="11" t="e">
        <f>LOOKUP(D72,Land_Wert,Tabelle_Abfrage_von_MS_Access_Database4[Partnerland])</f>
        <v>#N/A</v>
      </c>
    </row>
    <row r="73" spans="1:5" x14ac:dyDescent="0.25">
      <c r="A73" t="str">
        <f>Texte!A255</f>
        <v>894</v>
      </c>
      <c r="B73" t="str">
        <f>VLOOKUP(Tabelle_Abfrage_von_MS_Access_Database4[[#This Row],[LAND]],Texte!$A$4:$C$261,Texte!$A$1+1,FALSE)</f>
        <v>Französische Südgebiete</v>
      </c>
      <c r="C73">
        <v>71</v>
      </c>
      <c r="D73" s="11"/>
      <c r="E73" s="11" t="e">
        <f>LOOKUP(D73,Land_Wert,Tabelle_Abfrage_von_MS_Access_Database4[Partnerland])</f>
        <v>#N/A</v>
      </c>
    </row>
    <row r="74" spans="1:5" x14ac:dyDescent="0.25">
      <c r="A74" t="str">
        <f>Texte!A167</f>
        <v>496</v>
      </c>
      <c r="B74" t="str">
        <f>VLOOKUP(Tabelle_Abfrage_von_MS_Access_Database4[[#This Row],[LAND]],Texte!$A$4:$C$261,Texte!$A$1+1,FALSE)</f>
        <v>Französisch-Guayana</v>
      </c>
      <c r="C74">
        <v>72</v>
      </c>
      <c r="D74" s="11"/>
      <c r="E74" s="11" t="e">
        <f>LOOKUP(D74,Land_Wert,Tabelle_Abfrage_von_MS_Access_Database4[Partnerland])</f>
        <v>#N/A</v>
      </c>
    </row>
    <row r="75" spans="1:5" x14ac:dyDescent="0.25">
      <c r="A75" t="str">
        <f>Texte!A237</f>
        <v>822</v>
      </c>
      <c r="B75" t="str">
        <f>VLOOKUP(Tabelle_Abfrage_von_MS_Access_Database4[[#This Row],[LAND]],Texte!$A$4:$C$261,Texte!$A$1+1,FALSE)</f>
        <v>Frz.Polynesien</v>
      </c>
      <c r="C75">
        <v>73</v>
      </c>
      <c r="D75" s="11"/>
      <c r="E75" s="11" t="e">
        <f>LOOKUP(D75,Land_Wert,Tabelle_Abfrage_von_MS_Access_Database4[Partnerland])</f>
        <v>#N/A</v>
      </c>
    </row>
    <row r="76" spans="1:5" x14ac:dyDescent="0.25">
      <c r="A76" t="str">
        <f>Texte!A93</f>
        <v>314</v>
      </c>
      <c r="B76" t="str">
        <f>VLOOKUP(Tabelle_Abfrage_von_MS_Access_Database4[[#This Row],[LAND]],Texte!$A$4:$C$261,Texte!$A$1+1,FALSE)</f>
        <v>Gabun</v>
      </c>
      <c r="C76">
        <v>74</v>
      </c>
      <c r="D76" s="11"/>
      <c r="E76" s="11" t="e">
        <f>LOOKUP(D76,Land_Wert,Tabelle_Abfrage_von_MS_Access_Database4[Partnerland])</f>
        <v>#N/A</v>
      </c>
    </row>
    <row r="77" spans="1:5" x14ac:dyDescent="0.25">
      <c r="A77" t="str">
        <f>Texte!A79</f>
        <v>252</v>
      </c>
      <c r="B77" t="str">
        <f>VLOOKUP(Tabelle_Abfrage_von_MS_Access_Database4[[#This Row],[LAND]],Texte!$A$4:$C$261,Texte!$A$1+1,FALSE)</f>
        <v>Gambia</v>
      </c>
      <c r="C77">
        <v>75</v>
      </c>
      <c r="D77" s="11"/>
      <c r="E77" s="11" t="e">
        <f>LOOKUP(D77,Land_Wert,Tabelle_Abfrage_von_MS_Access_Database4[Partnerland])</f>
        <v>#N/A</v>
      </c>
    </row>
    <row r="78" spans="1:5" x14ac:dyDescent="0.25">
      <c r="A78" t="str">
        <f>Texte!A48</f>
        <v>076</v>
      </c>
      <c r="B78" t="str">
        <f>VLOOKUP(Tabelle_Abfrage_von_MS_Access_Database4[[#This Row],[LAND]],Texte!$A$4:$C$261,Texte!$A$1+1,FALSE)</f>
        <v>Georgien</v>
      </c>
      <c r="C78">
        <v>76</v>
      </c>
      <c r="D78" s="11"/>
      <c r="E78" s="11" t="e">
        <f>LOOKUP(D78,Land_Wert,Tabelle_Abfrage_von_MS_Access_Database4[Partnerland])</f>
        <v>#N/A</v>
      </c>
    </row>
    <row r="79" spans="1:5" x14ac:dyDescent="0.25">
      <c r="A79" t="str">
        <f>Texte!A85</f>
        <v>276</v>
      </c>
      <c r="B79" t="str">
        <f>VLOOKUP(Tabelle_Abfrage_von_MS_Access_Database4[[#This Row],[LAND]],Texte!$A$4:$C$261,Texte!$A$1+1,FALSE)</f>
        <v>Ghana</v>
      </c>
      <c r="C79">
        <v>77</v>
      </c>
      <c r="D79" s="11"/>
      <c r="E79" s="11" t="e">
        <f>LOOKUP(D79,Land_Wert,Tabelle_Abfrage_von_MS_Access_Database4[Partnerland])</f>
        <v>#N/A</v>
      </c>
    </row>
    <row r="80" spans="1:5" x14ac:dyDescent="0.25">
      <c r="A80" t="str">
        <f>Texte!A29</f>
        <v>044</v>
      </c>
      <c r="B80" t="str">
        <f>VLOOKUP(Tabelle_Abfrage_von_MS_Access_Database4[[#This Row],[LAND]],Texte!$A$4:$C$261,Texte!$A$1+1,FALSE)</f>
        <v>Gibraltar</v>
      </c>
      <c r="C80">
        <v>78</v>
      </c>
      <c r="D80" s="11"/>
      <c r="E80" s="11" t="e">
        <f>LOOKUP(D80,Land_Wert,Tabelle_Abfrage_von_MS_Access_Database4[Partnerland])</f>
        <v>#N/A</v>
      </c>
    </row>
    <row r="81" spans="1:5" x14ac:dyDescent="0.25">
      <c r="A81" t="str">
        <f>Texte!A157</f>
        <v>473</v>
      </c>
      <c r="B81" t="str">
        <f>VLOOKUP(Tabelle_Abfrage_von_MS_Access_Database4[[#This Row],[LAND]],Texte!$A$4:$C$261,Texte!$A$1+1,FALSE)</f>
        <v>Grenada</v>
      </c>
      <c r="C81">
        <v>79</v>
      </c>
      <c r="D81" s="11"/>
      <c r="E81" s="11" t="e">
        <f>LOOKUP(D81,Land_Wert,Tabelle_Abfrage_von_MS_Access_Database4[Partnerland])</f>
        <v>#N/A</v>
      </c>
    </row>
    <row r="82" spans="1:5" x14ac:dyDescent="0.25">
      <c r="A82" t="str">
        <f>Texte!A12</f>
        <v>009</v>
      </c>
      <c r="B82" t="str">
        <f>VLOOKUP(Tabelle_Abfrage_von_MS_Access_Database4[[#This Row],[LAND]],Texte!$A$4:$C$261,Texte!$A$1+1,FALSE)</f>
        <v>Griechenland</v>
      </c>
      <c r="C82">
        <v>80</v>
      </c>
      <c r="D82" s="11"/>
      <c r="E82" s="12" t="e">
        <f>LOOKUP(D82,Land_Wert,Tabelle_Abfrage_von_MS_Access_Database4[Partnerland])</f>
        <v>#N/A</v>
      </c>
    </row>
    <row r="83" spans="1:5" x14ac:dyDescent="0.25">
      <c r="A83" t="str">
        <f>Texte!A125</f>
        <v>406</v>
      </c>
      <c r="B83" t="str">
        <f>VLOOKUP(Tabelle_Abfrage_von_MS_Access_Database4[[#This Row],[LAND]],Texte!$A$4:$C$261,Texte!$A$1+1,FALSE)</f>
        <v>Grönland</v>
      </c>
      <c r="C83">
        <v>81</v>
      </c>
      <c r="D83" s="11"/>
      <c r="E83" s="11" t="e">
        <f>LOOKUP(D83,Land_Wert,Tabelle_Abfrage_von_MS_Access_Database4[Partnerland])</f>
        <v>#N/A</v>
      </c>
    </row>
    <row r="84" spans="1:5" x14ac:dyDescent="0.25">
      <c r="A84" t="str">
        <f>Texte!A144</f>
        <v>458</v>
      </c>
      <c r="B84" t="str">
        <f>VLOOKUP(Tabelle_Abfrage_von_MS_Access_Database4[[#This Row],[LAND]],Texte!$A$4:$C$261,Texte!$A$1+1,FALSE)</f>
        <v>Guadeloupe</v>
      </c>
      <c r="C84">
        <v>82</v>
      </c>
      <c r="D84" s="11"/>
      <c r="E84" s="11" t="e">
        <f>LOOKUP(D84,Land_Wert,Tabelle_Abfrage_von_MS_Access_Database4[Partnerland])</f>
        <v>#N/A</v>
      </c>
    </row>
    <row r="85" spans="1:5" x14ac:dyDescent="0.25">
      <c r="A85" t="str">
        <f>Texte!A242</f>
        <v>831</v>
      </c>
      <c r="B85" t="str">
        <f>VLOOKUP(Tabelle_Abfrage_von_MS_Access_Database4[[#This Row],[LAND]],Texte!$A$4:$C$261,Texte!$A$1+1,FALSE)</f>
        <v>Guam</v>
      </c>
      <c r="C85">
        <v>83</v>
      </c>
      <c r="D85" s="11"/>
      <c r="E85" s="11" t="e">
        <f>LOOKUP(D85,Land_Wert,Tabelle_Abfrage_von_MS_Access_Database4[Partnerland])</f>
        <v>#N/A</v>
      </c>
    </row>
    <row r="86" spans="1:5" x14ac:dyDescent="0.25">
      <c r="A86" t="str">
        <f>Texte!A129</f>
        <v>416</v>
      </c>
      <c r="B86" t="str">
        <f>VLOOKUP(Tabelle_Abfrage_von_MS_Access_Database4[[#This Row],[LAND]],Texte!$A$4:$C$261,Texte!$A$1+1,FALSE)</f>
        <v>Guatemala</v>
      </c>
      <c r="C86">
        <v>84</v>
      </c>
      <c r="D86" s="11"/>
      <c r="E86" s="11" t="e">
        <f>LOOKUP(D86,Land_Wert,Tabelle_Abfrage_von_MS_Access_Database4[Partnerland])</f>
        <v>#N/A</v>
      </c>
    </row>
    <row r="87" spans="1:5" x14ac:dyDescent="0.25">
      <c r="A87" t="str">
        <f>Texte!A81</f>
        <v>260</v>
      </c>
      <c r="B87" t="str">
        <f>VLOOKUP(Tabelle_Abfrage_von_MS_Access_Database4[[#This Row],[LAND]],Texte!$A$4:$C$261,Texte!$A$1+1,FALSE)</f>
        <v>Guinea</v>
      </c>
      <c r="C87">
        <v>85</v>
      </c>
      <c r="D87" s="11"/>
      <c r="E87" s="11" t="e">
        <f>LOOKUP(D87,Land_Wert,Tabelle_Abfrage_von_MS_Access_Database4[Partnerland])</f>
        <v>#N/A</v>
      </c>
    </row>
    <row r="88" spans="1:5" x14ac:dyDescent="0.25">
      <c r="A88" t="str">
        <f>Texte!A80</f>
        <v>257</v>
      </c>
      <c r="B88" t="str">
        <f>VLOOKUP(Tabelle_Abfrage_von_MS_Access_Database4[[#This Row],[LAND]],Texte!$A$4:$C$261,Texte!$A$1+1,FALSE)</f>
        <v>Guinea-Bissau</v>
      </c>
      <c r="C88">
        <v>86</v>
      </c>
      <c r="D88" s="11"/>
      <c r="E88" s="11" t="e">
        <f>LOOKUP(D88,Land_Wert,Tabelle_Abfrage_von_MS_Access_Database4[Partnerland])</f>
        <v>#N/A</v>
      </c>
    </row>
    <row r="89" spans="1:5" x14ac:dyDescent="0.25">
      <c r="A89" t="str">
        <f>Texte!A165</f>
        <v>488</v>
      </c>
      <c r="B89" t="str">
        <f>VLOOKUP(Tabelle_Abfrage_von_MS_Access_Database4[[#This Row],[LAND]],Texte!$A$4:$C$261,Texte!$A$1+1,FALSE)</f>
        <v>Guyana</v>
      </c>
      <c r="C89">
        <v>87</v>
      </c>
      <c r="D89" s="11"/>
      <c r="E89" s="11" t="e">
        <f>LOOKUP(D89,Land_Wert,Tabelle_Abfrage_von_MS_Access_Database4[Partnerland])</f>
        <v>#N/A</v>
      </c>
    </row>
    <row r="90" spans="1:5" x14ac:dyDescent="0.25">
      <c r="A90" t="str">
        <f>Texte!A139</f>
        <v>452</v>
      </c>
      <c r="B90" t="str">
        <f>VLOOKUP(Tabelle_Abfrage_von_MS_Access_Database4[[#This Row],[LAND]],Texte!$A$4:$C$261,Texte!$A$1+1,FALSE)</f>
        <v>Haiti</v>
      </c>
      <c r="C90">
        <v>88</v>
      </c>
      <c r="D90" s="11"/>
      <c r="E90" s="11" t="e">
        <f>LOOKUP(D90,Land_Wert,Tabelle_Abfrage_von_MS_Access_Database4[Partnerland])</f>
        <v>#N/A</v>
      </c>
    </row>
    <row r="91" spans="1:5" x14ac:dyDescent="0.25">
      <c r="A91" t="str">
        <f>Texte!A246</f>
        <v>835</v>
      </c>
      <c r="B91" t="str">
        <f>VLOOKUP(Tabelle_Abfrage_von_MS_Access_Database4[[#This Row],[LAND]],Texte!$A$4:$C$261,Texte!$A$1+1,FALSE)</f>
        <v>Heard u. McDonaldinseln</v>
      </c>
      <c r="C91">
        <v>89</v>
      </c>
      <c r="D91" s="11"/>
      <c r="E91" s="11" t="e">
        <f>LOOKUP(D91,Land_Wert,Tabelle_Abfrage_von_MS_Access_Database4[Partnerland])</f>
        <v>#N/A</v>
      </c>
    </row>
    <row r="92" spans="1:5" x14ac:dyDescent="0.25">
      <c r="A92" t="str">
        <f>Texte!A131</f>
        <v>424</v>
      </c>
      <c r="B92" t="str">
        <f>VLOOKUP(Tabelle_Abfrage_von_MS_Access_Database4[[#This Row],[LAND]],Texte!$A$4:$C$261,Texte!$A$1+1,FALSE)</f>
        <v>Honduras</v>
      </c>
      <c r="C92">
        <v>90</v>
      </c>
      <c r="D92" s="11"/>
      <c r="E92" s="11" t="e">
        <f>LOOKUP(D92,Land_Wert,Tabelle_Abfrage_von_MS_Access_Database4[Partnerland])</f>
        <v>#N/A</v>
      </c>
    </row>
    <row r="93" spans="1:5" x14ac:dyDescent="0.25">
      <c r="A93" t="str">
        <f>Texte!A217</f>
        <v>740</v>
      </c>
      <c r="B93" t="str">
        <f>VLOOKUP(Tabelle_Abfrage_von_MS_Access_Database4[[#This Row],[LAND]],Texte!$A$4:$C$261,Texte!$A$1+1,FALSE)</f>
        <v>Hongkong</v>
      </c>
      <c r="C93">
        <v>91</v>
      </c>
      <c r="D93" s="11"/>
      <c r="E93" s="11" t="e">
        <f>LOOKUP(D93,Land_Wert,Tabelle_Abfrage_von_MS_Access_Database4[Partnerland])</f>
        <v>#N/A</v>
      </c>
    </row>
    <row r="94" spans="1:5" x14ac:dyDescent="0.25">
      <c r="A94" t="str">
        <f>Texte!A195</f>
        <v>664</v>
      </c>
      <c r="B94" t="str">
        <f>VLOOKUP(Tabelle_Abfrage_von_MS_Access_Database4[[#This Row],[LAND]],Texte!$A$4:$C$261,Texte!$A$1+1,FALSE)</f>
        <v>Indien</v>
      </c>
      <c r="C94">
        <v>92</v>
      </c>
      <c r="D94" s="11"/>
      <c r="E94" s="11" t="e">
        <f>LOOKUP(D94,Land_Wert,Tabelle_Abfrage_von_MS_Access_Database4[Partnerland])</f>
        <v>#N/A</v>
      </c>
    </row>
    <row r="95" spans="1:5" x14ac:dyDescent="0.25">
      <c r="A95" t="str">
        <f>Texte!A206</f>
        <v>700</v>
      </c>
      <c r="B95" t="str">
        <f>VLOOKUP(Tabelle_Abfrage_von_MS_Access_Database4[[#This Row],[LAND]],Texte!$A$4:$C$261,Texte!$A$1+1,FALSE)</f>
        <v>Indonesien</v>
      </c>
      <c r="C95">
        <v>93</v>
      </c>
      <c r="D95" s="11"/>
      <c r="E95" s="11" t="e">
        <f>LOOKUP(D95,Land_Wert,Tabelle_Abfrage_von_MS_Access_Database4[Partnerland])</f>
        <v>#N/A</v>
      </c>
    </row>
    <row r="96" spans="1:5" x14ac:dyDescent="0.25">
      <c r="A96" t="str">
        <f>Texte!A180</f>
        <v>612</v>
      </c>
      <c r="B96" t="str">
        <f>VLOOKUP(Tabelle_Abfrage_von_MS_Access_Database4[[#This Row],[LAND]],Texte!$A$4:$C$261,Texte!$A$1+1,FALSE)</f>
        <v>Irak</v>
      </c>
      <c r="C96">
        <v>94</v>
      </c>
      <c r="D96" s="11"/>
      <c r="E96" s="11" t="e">
        <f>LOOKUP(D96,Land_Wert,Tabelle_Abfrage_von_MS_Access_Database4[Partnerland])</f>
        <v>#N/A</v>
      </c>
    </row>
    <row r="97" spans="1:5" x14ac:dyDescent="0.25">
      <c r="A97" t="str">
        <f>Texte!A181</f>
        <v>616</v>
      </c>
      <c r="B97" t="str">
        <f>VLOOKUP(Tabelle_Abfrage_von_MS_Access_Database4[[#This Row],[LAND]],Texte!$A$4:$C$261,Texte!$A$1+1,FALSE)</f>
        <v>Iran</v>
      </c>
      <c r="C97">
        <v>95</v>
      </c>
      <c r="D97" s="11"/>
      <c r="E97" s="11" t="e">
        <f>LOOKUP(D97,Land_Wert,Tabelle_Abfrage_von_MS_Access_Database4[Partnerland])</f>
        <v>#N/A</v>
      </c>
    </row>
    <row r="98" spans="1:5" x14ac:dyDescent="0.25">
      <c r="A98" t="str">
        <f>Texte!A10</f>
        <v>007</v>
      </c>
      <c r="B98" t="str">
        <f>VLOOKUP(Tabelle_Abfrage_von_MS_Access_Database4[[#This Row],[LAND]],Texte!$A$4:$C$261,Texte!$A$1+1,FALSE)</f>
        <v>Irland</v>
      </c>
      <c r="C98">
        <v>96</v>
      </c>
      <c r="D98" s="11"/>
      <c r="E98" s="12" t="e">
        <f>LOOKUP(D98,Land_Wert,Tabelle_Abfrage_von_MS_Access_Database4[Partnerland])</f>
        <v>#N/A</v>
      </c>
    </row>
    <row r="99" spans="1:5" x14ac:dyDescent="0.25">
      <c r="A99" t="str">
        <f>Texte!A20</f>
        <v>024</v>
      </c>
      <c r="B99" t="str">
        <f>VLOOKUP(Tabelle_Abfrage_von_MS_Access_Database4[[#This Row],[LAND]],Texte!$A$4:$C$261,Texte!$A$1+1,FALSE)</f>
        <v>Island</v>
      </c>
      <c r="C99">
        <v>97</v>
      </c>
      <c r="D99" s="13"/>
      <c r="E99" s="13" t="e">
        <f>LOOKUP(D99,Land_Wert,Tabelle_Abfrage_von_MS_Access_Database4[Partnerland])</f>
        <v>#N/A</v>
      </c>
    </row>
    <row r="100" spans="1:5" x14ac:dyDescent="0.25">
      <c r="A100" t="str">
        <f>Texte!A182</f>
        <v>624</v>
      </c>
      <c r="B100" t="str">
        <f>VLOOKUP(Tabelle_Abfrage_von_MS_Access_Database4[[#This Row],[LAND]],Texte!$A$4:$C$261,Texte!$A$1+1,FALSE)</f>
        <v>Israel</v>
      </c>
      <c r="C100">
        <v>98</v>
      </c>
      <c r="D100" s="11"/>
      <c r="E100" s="11" t="e">
        <f>LOOKUP(D100,Land_Wert,Tabelle_Abfrage_von_MS_Access_Database4[Partnerland])</f>
        <v>#N/A</v>
      </c>
    </row>
    <row r="101" spans="1:5" x14ac:dyDescent="0.25">
      <c r="A101" t="str">
        <f>Texte!A8</f>
        <v>005</v>
      </c>
      <c r="B101" t="str">
        <f>VLOOKUP(Tabelle_Abfrage_von_MS_Access_Database4[[#This Row],[LAND]],Texte!$A$4:$C$261,Texte!$A$1+1,FALSE)</f>
        <v>Italien</v>
      </c>
      <c r="C101">
        <v>99</v>
      </c>
      <c r="D101" s="11"/>
      <c r="E101" s="12" t="e">
        <f>LOOKUP(D101,Land_Wert,Tabelle_Abfrage_von_MS_Access_Database4[Partnerland])</f>
        <v>#N/A</v>
      </c>
    </row>
    <row r="102" spans="1:5" x14ac:dyDescent="0.25">
      <c r="A102" t="str">
        <f>Texte!A149</f>
        <v>464</v>
      </c>
      <c r="B102" t="str">
        <f>VLOOKUP(Tabelle_Abfrage_von_MS_Access_Database4[[#This Row],[LAND]],Texte!$A$4:$C$261,Texte!$A$1+1,FALSE)</f>
        <v>Jamaika</v>
      </c>
      <c r="C102">
        <v>100</v>
      </c>
      <c r="D102" s="11"/>
      <c r="E102" s="11" t="e">
        <f>LOOKUP(D102,Land_Wert,Tabelle_Abfrage_von_MS_Access_Database4[Partnerland])</f>
        <v>#N/A</v>
      </c>
    </row>
    <row r="103" spans="1:5" x14ac:dyDescent="0.25">
      <c r="A103" t="str">
        <f>Texte!A215</f>
        <v>732</v>
      </c>
      <c r="B103" t="str">
        <f>VLOOKUP(Tabelle_Abfrage_von_MS_Access_Database4[[#This Row],[LAND]],Texte!$A$4:$C$261,Texte!$A$1+1,FALSE)</f>
        <v>Japan</v>
      </c>
      <c r="C103">
        <v>101</v>
      </c>
      <c r="D103" s="11"/>
      <c r="E103" s="11" t="e">
        <f>LOOKUP(D103,Land_Wert,Tabelle_Abfrage_von_MS_Access_Database4[Partnerland])</f>
        <v>#N/A</v>
      </c>
    </row>
    <row r="104" spans="1:5" x14ac:dyDescent="0.25">
      <c r="A104" t="str">
        <f>Texte!A192</f>
        <v>653</v>
      </c>
      <c r="B104" t="str">
        <f>VLOOKUP(Tabelle_Abfrage_von_MS_Access_Database4[[#This Row],[LAND]],Texte!$A$4:$C$261,Texte!$A$1+1,FALSE)</f>
        <v>Jemen</v>
      </c>
      <c r="C104">
        <v>102</v>
      </c>
      <c r="D104" s="11"/>
      <c r="E104" s="11" t="e">
        <f>LOOKUP(D104,Land_Wert,Tabelle_Abfrage_von_MS_Access_Database4[Partnerland])</f>
        <v>#N/A</v>
      </c>
    </row>
    <row r="105" spans="1:5" x14ac:dyDescent="0.25">
      <c r="A105" t="str">
        <f>Texte!A185</f>
        <v>628</v>
      </c>
      <c r="B105" t="str">
        <f>VLOOKUP(Tabelle_Abfrage_von_MS_Access_Database4[[#This Row],[LAND]],Texte!$A$4:$C$261,Texte!$A$1+1,FALSE)</f>
        <v>Jordanien</v>
      </c>
      <c r="C105">
        <v>103</v>
      </c>
      <c r="D105" s="11"/>
      <c r="E105" s="11" t="e">
        <f>LOOKUP(D105,Land_Wert,Tabelle_Abfrage_von_MS_Access_Database4[Partnerland])</f>
        <v>#N/A</v>
      </c>
    </row>
    <row r="106" spans="1:5" x14ac:dyDescent="0.25">
      <c r="A106" t="str">
        <f>Texte!A148</f>
        <v>463</v>
      </c>
      <c r="B106" t="str">
        <f>VLOOKUP(Tabelle_Abfrage_von_MS_Access_Database4[[#This Row],[LAND]],Texte!$A$4:$C$261,Texte!$A$1+1,FALSE)</f>
        <v>Kaimaninseln</v>
      </c>
      <c r="C106">
        <v>104</v>
      </c>
      <c r="D106" s="11"/>
      <c r="E106" s="11" t="e">
        <f>LOOKUP(D106,Land_Wert,Tabelle_Abfrage_von_MS_Access_Database4[Partnerland])</f>
        <v>#N/A</v>
      </c>
    </row>
    <row r="107" spans="1:5" x14ac:dyDescent="0.25">
      <c r="A107" t="str">
        <f>Texte!A205</f>
        <v>696</v>
      </c>
      <c r="B107" t="str">
        <f>VLOOKUP(Tabelle_Abfrage_von_MS_Access_Database4[[#This Row],[LAND]],Texte!$A$4:$C$261,Texte!$A$1+1,FALSE)</f>
        <v>Kambodscha</v>
      </c>
      <c r="C107">
        <v>105</v>
      </c>
      <c r="D107" s="11"/>
      <c r="E107" s="11" t="e">
        <f>LOOKUP(D107,Land_Wert,Tabelle_Abfrage_von_MS_Access_Database4[Partnerland])</f>
        <v>#N/A</v>
      </c>
    </row>
    <row r="108" spans="1:5" x14ac:dyDescent="0.25">
      <c r="A108" t="str">
        <f>Texte!A89</f>
        <v>302</v>
      </c>
      <c r="B108" t="str">
        <f>VLOOKUP(Tabelle_Abfrage_von_MS_Access_Database4[[#This Row],[LAND]],Texte!$A$4:$C$261,Texte!$A$1+1,FALSE)</f>
        <v>Kamerun</v>
      </c>
      <c r="C108">
        <v>106</v>
      </c>
      <c r="D108" s="11"/>
      <c r="E108" s="11" t="e">
        <f>LOOKUP(D108,Land_Wert,Tabelle_Abfrage_von_MS_Access_Database4[Partnerland])</f>
        <v>#N/A</v>
      </c>
    </row>
    <row r="109" spans="1:5" x14ac:dyDescent="0.25">
      <c r="A109" t="str">
        <f>Texte!A124</f>
        <v>404</v>
      </c>
      <c r="B109" t="str">
        <f>VLOOKUP(Tabelle_Abfrage_von_MS_Access_Database4[[#This Row],[LAND]],Texte!$A$4:$C$261,Texte!$A$1+1,FALSE)</f>
        <v>Kanada</v>
      </c>
      <c r="C109">
        <v>107</v>
      </c>
      <c r="D109" s="11"/>
      <c r="E109" s="11" t="e">
        <f>LOOKUP(D109,Land_Wert,Tabelle_Abfrage_von_MS_Access_Database4[Partnerland])</f>
        <v>#N/A</v>
      </c>
    </row>
    <row r="110" spans="1:5" x14ac:dyDescent="0.25">
      <c r="A110" t="str">
        <f>Texte!A261</f>
        <v>99X</v>
      </c>
      <c r="B110" t="str">
        <f>VLOOKUP(Tabelle_Abfrage_von_MS_Access_Database4[[#This Row],[LAND]],Texte!$A$4:$C$261,Texte!$A$1+1,FALSE)</f>
        <v>Kanarische Inseln (1998)</v>
      </c>
      <c r="C110">
        <v>108</v>
      </c>
      <c r="D110" s="11"/>
      <c r="E110" s="11" t="e">
        <f>LOOKUP(D110,Land_Wert,Tabelle_Abfrage_von_MS_Access_Database4[Partnerland])</f>
        <v>#N/A</v>
      </c>
    </row>
    <row r="111" spans="1:5" x14ac:dyDescent="0.25">
      <c r="A111" t="str">
        <f>Texte!A77</f>
        <v>247</v>
      </c>
      <c r="B111" t="str">
        <f>VLOOKUP(Tabelle_Abfrage_von_MS_Access_Database4[[#This Row],[LAND]],Texte!$A$4:$C$261,Texte!$A$1+1,FALSE)</f>
        <v>Kap Verde</v>
      </c>
      <c r="C111">
        <v>109</v>
      </c>
      <c r="D111" s="11"/>
      <c r="E111" s="11" t="e">
        <f>LOOKUP(D111,Land_Wert,Tabelle_Abfrage_von_MS_Access_Database4[Partnerland])</f>
        <v>#N/A</v>
      </c>
    </row>
    <row r="112" spans="1:5" x14ac:dyDescent="0.25">
      <c r="A112" t="str">
        <f>Texte!A51</f>
        <v>079</v>
      </c>
      <c r="B112" t="str">
        <f>VLOOKUP(Tabelle_Abfrage_von_MS_Access_Database4[[#This Row],[LAND]],Texte!$A$4:$C$261,Texte!$A$1+1,FALSE)</f>
        <v>Kasachstan</v>
      </c>
      <c r="C112">
        <v>110</v>
      </c>
      <c r="D112" s="11"/>
      <c r="E112" s="11" t="e">
        <f>LOOKUP(D112,Land_Wert,Tabelle_Abfrage_von_MS_Access_Database4[Partnerland])</f>
        <v>#N/A</v>
      </c>
    </row>
    <row r="113" spans="1:5" x14ac:dyDescent="0.25">
      <c r="A113" t="str">
        <f>Texte!A189</f>
        <v>644</v>
      </c>
      <c r="B113" t="str">
        <f>VLOOKUP(Tabelle_Abfrage_von_MS_Access_Database4[[#This Row],[LAND]],Texte!$A$4:$C$261,Texte!$A$1+1,FALSE)</f>
        <v>Katar</v>
      </c>
      <c r="C113">
        <v>111</v>
      </c>
      <c r="D113" s="11"/>
      <c r="E113" s="11" t="e">
        <f>LOOKUP(D113,Land_Wert,Tabelle_Abfrage_von_MS_Access_Database4[Partnerland])</f>
        <v>#N/A</v>
      </c>
    </row>
    <row r="114" spans="1:5" x14ac:dyDescent="0.25">
      <c r="A114" t="str">
        <f>Texte!A104</f>
        <v>346</v>
      </c>
      <c r="B114" t="str">
        <f>VLOOKUP(Tabelle_Abfrage_von_MS_Access_Database4[[#This Row],[LAND]],Texte!$A$4:$C$261,Texte!$A$1+1,FALSE)</f>
        <v>Kenia</v>
      </c>
      <c r="C114">
        <v>112</v>
      </c>
      <c r="D114" s="11"/>
      <c r="E114" s="11" t="e">
        <f>LOOKUP(D114,Land_Wert,Tabelle_Abfrage_von_MS_Access_Database4[Partnerland])</f>
        <v>#N/A</v>
      </c>
    </row>
    <row r="115" spans="1:5" x14ac:dyDescent="0.25">
      <c r="A115" t="str">
        <f>Texte!A55</f>
        <v>083</v>
      </c>
      <c r="B115" t="str">
        <f>VLOOKUP(Tabelle_Abfrage_von_MS_Access_Database4[[#This Row],[LAND]],Texte!$A$4:$C$261,Texte!$A$1+1,FALSE)</f>
        <v>Kirgisistan</v>
      </c>
      <c r="C115">
        <v>113</v>
      </c>
      <c r="D115" s="11"/>
      <c r="E115" s="11" t="e">
        <f>LOOKUP(D115,Land_Wert,Tabelle_Abfrage_von_MS_Access_Database4[Partnerland])</f>
        <v>#N/A</v>
      </c>
    </row>
    <row r="116" spans="1:5" x14ac:dyDescent="0.25">
      <c r="A116" t="str">
        <f>Texte!A229</f>
        <v>812</v>
      </c>
      <c r="B116" t="str">
        <f>VLOOKUP(Tabelle_Abfrage_von_MS_Access_Database4[[#This Row],[LAND]],Texte!$A$4:$C$261,Texte!$A$1+1,FALSE)</f>
        <v>Kiribati</v>
      </c>
      <c r="C116">
        <v>114</v>
      </c>
      <c r="D116" s="11"/>
      <c r="E116" s="11" t="e">
        <f>LOOKUP(D116,Land_Wert,Tabelle_Abfrage_von_MS_Access_Database4[Partnerland])</f>
        <v>#N/A</v>
      </c>
    </row>
    <row r="117" spans="1:5" x14ac:dyDescent="0.25">
      <c r="A117" t="str">
        <f>Texte!A243</f>
        <v>832</v>
      </c>
      <c r="B117" t="str">
        <f>VLOOKUP(Tabelle_Abfrage_von_MS_Access_Database4[[#This Row],[LAND]],Texte!$A$4:$C$261,Texte!$A$1+1,FALSE)</f>
        <v>Kl.amerikan.Überseeinseln</v>
      </c>
      <c r="C117">
        <v>115</v>
      </c>
      <c r="D117" s="11"/>
      <c r="E117" s="11" t="e">
        <f>LOOKUP(D117,Land_Wert,Tabelle_Abfrage_von_MS_Access_Database4[Partnerland])</f>
        <v>#N/A</v>
      </c>
    </row>
    <row r="118" spans="1:5" x14ac:dyDescent="0.25">
      <c r="A118" t="str">
        <f>Texte!A244</f>
        <v>833</v>
      </c>
      <c r="B118" t="str">
        <f>VLOOKUP(Tabelle_Abfrage_von_MS_Access_Database4[[#This Row],[LAND]],Texte!$A$4:$C$261,Texte!$A$1+1,FALSE)</f>
        <v>Kokosinseln</v>
      </c>
      <c r="C118">
        <v>116</v>
      </c>
      <c r="D118" s="11"/>
      <c r="E118" s="11" t="e">
        <f>LOOKUP(D118,Land_Wert,Tabelle_Abfrage_von_MS_Access_Database4[Partnerland])</f>
        <v>#N/A</v>
      </c>
    </row>
    <row r="119" spans="1:5" x14ac:dyDescent="0.25">
      <c r="A119" t="str">
        <f>Texte!A163</f>
        <v>480</v>
      </c>
      <c r="B119" t="str">
        <f>VLOOKUP(Tabelle_Abfrage_von_MS_Access_Database4[[#This Row],[LAND]],Texte!$A$4:$C$261,Texte!$A$1+1,FALSE)</f>
        <v>Kolumbien</v>
      </c>
      <c r="C119">
        <v>117</v>
      </c>
      <c r="D119" s="11"/>
      <c r="E119" s="11" t="e">
        <f>LOOKUP(D119,Land_Wert,Tabelle_Abfrage_von_MS_Access_Database4[Partnerland])</f>
        <v>#N/A</v>
      </c>
    </row>
    <row r="120" spans="1:5" x14ac:dyDescent="0.25">
      <c r="A120" t="str">
        <f>Texte!A113</f>
        <v>375</v>
      </c>
      <c r="B120" t="str">
        <f>VLOOKUP(Tabelle_Abfrage_von_MS_Access_Database4[[#This Row],[LAND]],Texte!$A$4:$C$261,Texte!$A$1+1,FALSE)</f>
        <v>Komoren</v>
      </c>
      <c r="C120">
        <v>118</v>
      </c>
      <c r="D120" s="11"/>
      <c r="E120" s="11" t="e">
        <f>LOOKUP(D120,Land_Wert,Tabelle_Abfrage_von_MS_Access_Database4[Partnerland])</f>
        <v>#N/A</v>
      </c>
    </row>
    <row r="121" spans="1:5" x14ac:dyDescent="0.25">
      <c r="A121" t="str">
        <f>Texte!A60</f>
        <v>095</v>
      </c>
      <c r="B121" t="str">
        <f>VLOOKUP(Tabelle_Abfrage_von_MS_Access_Database4[[#This Row],[LAND]],Texte!$A$4:$C$261,Texte!$A$1+1,FALSE)</f>
        <v>Kosovo</v>
      </c>
      <c r="C121">
        <v>119</v>
      </c>
      <c r="D121" s="11"/>
      <c r="E121" s="11" t="e">
        <f>LOOKUP(D121,Land_Wert,Tabelle_Abfrage_von_MS_Access_Database4[Partnerland])</f>
        <v>#N/A</v>
      </c>
    </row>
    <row r="122" spans="1:5" x14ac:dyDescent="0.25">
      <c r="A122" t="str">
        <f>Texte!A57</f>
        <v>092</v>
      </c>
      <c r="B122" t="str">
        <f>VLOOKUP(Tabelle_Abfrage_von_MS_Access_Database4[[#This Row],[LAND]],Texte!$A$4:$C$261,Texte!$A$1+1,FALSE)</f>
        <v>Kroatien</v>
      </c>
      <c r="C122">
        <v>120</v>
      </c>
      <c r="D122" s="11"/>
      <c r="E122" s="11" t="e">
        <f>LOOKUP(D122,Land_Wert,Tabelle_Abfrage_von_MS_Access_Database4[Partnerland])</f>
        <v>#N/A</v>
      </c>
    </row>
    <row r="123" spans="1:5" x14ac:dyDescent="0.25">
      <c r="A123" t="str">
        <f>Texte!A137</f>
        <v>448</v>
      </c>
      <c r="B123" t="str">
        <f>VLOOKUP(Tabelle_Abfrage_von_MS_Access_Database4[[#This Row],[LAND]],Texte!$A$4:$C$261,Texte!$A$1+1,FALSE)</f>
        <v>Kuba</v>
      </c>
      <c r="C123">
        <v>121</v>
      </c>
      <c r="D123" s="11"/>
      <c r="E123" s="11" t="e">
        <f>LOOKUP(D123,Land_Wert,Tabelle_Abfrage_von_MS_Access_Database4[Partnerland])</f>
        <v>#N/A</v>
      </c>
    </row>
    <row r="124" spans="1:5" x14ac:dyDescent="0.25">
      <c r="A124" t="str">
        <f>Texte!A187</f>
        <v>636</v>
      </c>
      <c r="B124" t="str">
        <f>VLOOKUP(Tabelle_Abfrage_von_MS_Access_Database4[[#This Row],[LAND]],Texte!$A$4:$C$261,Texte!$A$1+1,FALSE)</f>
        <v>Kuwait</v>
      </c>
      <c r="C124">
        <v>122</v>
      </c>
      <c r="D124" s="11"/>
      <c r="E124" s="11" t="e">
        <f>LOOKUP(D124,Land_Wert,Tabelle_Abfrage_von_MS_Access_Database4[Partnerland])</f>
        <v>#N/A</v>
      </c>
    </row>
    <row r="125" spans="1:5" x14ac:dyDescent="0.25">
      <c r="A125" t="str">
        <f>Texte!A203</f>
        <v>684</v>
      </c>
      <c r="B125" t="str">
        <f>VLOOKUP(Tabelle_Abfrage_von_MS_Access_Database4[[#This Row],[LAND]],Texte!$A$4:$C$261,Texte!$A$1+1,FALSE)</f>
        <v>Laos</v>
      </c>
      <c r="C125">
        <v>123</v>
      </c>
      <c r="D125" s="11"/>
      <c r="E125" s="11" t="e">
        <f>LOOKUP(D125,Land_Wert,Tabelle_Abfrage_von_MS_Access_Database4[Partnerland])</f>
        <v>#N/A</v>
      </c>
    </row>
    <row r="126" spans="1:5" x14ac:dyDescent="0.25">
      <c r="A126" t="str">
        <f>Texte!A122</f>
        <v>395</v>
      </c>
      <c r="B126" t="str">
        <f>VLOOKUP(Tabelle_Abfrage_von_MS_Access_Database4[[#This Row],[LAND]],Texte!$A$4:$C$261,Texte!$A$1+1,FALSE)</f>
        <v>Lesotho</v>
      </c>
      <c r="C126">
        <v>124</v>
      </c>
      <c r="D126" s="11"/>
      <c r="E126" s="11" t="e">
        <f>LOOKUP(D126,Land_Wert,Tabelle_Abfrage_von_MS_Access_Database4[Partnerland])</f>
        <v>#N/A</v>
      </c>
    </row>
    <row r="127" spans="1:5" x14ac:dyDescent="0.25">
      <c r="A127" t="str">
        <f>Texte!A35</f>
        <v>054</v>
      </c>
      <c r="B127" t="str">
        <f>VLOOKUP(Tabelle_Abfrage_von_MS_Access_Database4[[#This Row],[LAND]],Texte!$A$4:$C$261,Texte!$A$1+1,FALSE)</f>
        <v>Lettland</v>
      </c>
      <c r="C127">
        <v>125</v>
      </c>
      <c r="D127" s="11"/>
      <c r="E127" s="11" t="e">
        <f>LOOKUP(D127,Land_Wert,Tabelle_Abfrage_von_MS_Access_Database4[Partnerland])</f>
        <v>#N/A</v>
      </c>
    </row>
    <row r="128" spans="1:5" x14ac:dyDescent="0.25">
      <c r="A128" t="str">
        <f>Texte!A178</f>
        <v>604</v>
      </c>
      <c r="B128" t="str">
        <f>VLOOKUP(Tabelle_Abfrage_von_MS_Access_Database4[[#This Row],[LAND]],Texte!$A$4:$C$261,Texte!$A$1+1,FALSE)</f>
        <v>Libanon</v>
      </c>
      <c r="C128">
        <v>126</v>
      </c>
      <c r="D128" s="11"/>
      <c r="E128" s="11" t="e">
        <f>LOOKUP(D128,Land_Wert,Tabelle_Abfrage_von_MS_Access_Database4[Partnerland])</f>
        <v>#N/A</v>
      </c>
    </row>
    <row r="129" spans="1:5" x14ac:dyDescent="0.25">
      <c r="A129" t="str">
        <f>Texte!A83</f>
        <v>268</v>
      </c>
      <c r="B129" t="str">
        <f>VLOOKUP(Tabelle_Abfrage_von_MS_Access_Database4[[#This Row],[LAND]],Texte!$A$4:$C$261,Texte!$A$1+1,FALSE)</f>
        <v>Liberia</v>
      </c>
      <c r="C129">
        <v>127</v>
      </c>
      <c r="D129" s="11"/>
      <c r="E129" s="11" t="e">
        <f>LOOKUP(D129,Land_Wert,Tabelle_Abfrage_von_MS_Access_Database4[Partnerland])</f>
        <v>#N/A</v>
      </c>
    </row>
    <row r="130" spans="1:5" x14ac:dyDescent="0.25">
      <c r="A130" t="str">
        <f>Texte!A67</f>
        <v>216</v>
      </c>
      <c r="B130" t="str">
        <f>VLOOKUP(Tabelle_Abfrage_von_MS_Access_Database4[[#This Row],[LAND]],Texte!$A$4:$C$261,Texte!$A$1+1,FALSE)</f>
        <v>Libyen</v>
      </c>
      <c r="C130">
        <v>128</v>
      </c>
      <c r="D130" s="11"/>
      <c r="E130" s="11" t="e">
        <f>LOOKUP(D130,Land_Wert,Tabelle_Abfrage_von_MS_Access_Database4[Partnerland])</f>
        <v>#N/A</v>
      </c>
    </row>
    <row r="131" spans="1:5" x14ac:dyDescent="0.25">
      <c r="A131" t="str">
        <f>Texte!A25</f>
        <v>037</v>
      </c>
      <c r="B131" t="str">
        <f>VLOOKUP(Tabelle_Abfrage_von_MS_Access_Database4[[#This Row],[LAND]],Texte!$A$4:$C$261,Texte!$A$1+1,FALSE)</f>
        <v>Liechtenstein</v>
      </c>
      <c r="C131">
        <v>129</v>
      </c>
      <c r="D131" s="11"/>
      <c r="E131" s="11" t="e">
        <f>LOOKUP(D131,Land_Wert,Tabelle_Abfrage_von_MS_Access_Database4[Partnerland])</f>
        <v>#N/A</v>
      </c>
    </row>
    <row r="132" spans="1:5" x14ac:dyDescent="0.25">
      <c r="A132" t="str">
        <f>Texte!A36</f>
        <v>055</v>
      </c>
      <c r="B132" t="str">
        <f>VLOOKUP(Tabelle_Abfrage_von_MS_Access_Database4[[#This Row],[LAND]],Texte!$A$4:$C$261,Texte!$A$1+1,FALSE)</f>
        <v>Litauen</v>
      </c>
      <c r="C132">
        <v>130</v>
      </c>
      <c r="D132" s="11"/>
      <c r="E132" s="11" t="e">
        <f>LOOKUP(D132,Land_Wert,Tabelle_Abfrage_von_MS_Access_Database4[Partnerland])</f>
        <v>#N/A</v>
      </c>
    </row>
    <row r="133" spans="1:5" x14ac:dyDescent="0.25">
      <c r="A133" t="str">
        <f>Texte!A16</f>
        <v>018</v>
      </c>
      <c r="B133" t="str">
        <f>VLOOKUP(Tabelle_Abfrage_von_MS_Access_Database4[[#This Row],[LAND]],Texte!$A$4:$C$261,Texte!$A$1+1,FALSE)</f>
        <v>Luxemburg</v>
      </c>
      <c r="C133">
        <v>131</v>
      </c>
      <c r="D133" s="11"/>
      <c r="E133" s="12" t="e">
        <f>LOOKUP(D133,Land_Wert,Tabelle_Abfrage_von_MS_Access_Database4[Partnerland])</f>
        <v>#N/A</v>
      </c>
    </row>
    <row r="134" spans="1:5" x14ac:dyDescent="0.25">
      <c r="A134" t="str">
        <f>Texte!A218</f>
        <v>743</v>
      </c>
      <c r="B134" t="str">
        <f>VLOOKUP(Tabelle_Abfrage_von_MS_Access_Database4[[#This Row],[LAND]],Texte!$A$4:$C$261,Texte!$A$1+1,FALSE)</f>
        <v>Macau</v>
      </c>
      <c r="C134">
        <v>132</v>
      </c>
      <c r="D134" s="11"/>
      <c r="E134" s="11" t="e">
        <f>LOOKUP(D134,Land_Wert,Tabelle_Abfrage_von_MS_Access_Database4[Partnerland])</f>
        <v>#N/A</v>
      </c>
    </row>
    <row r="135" spans="1:5" x14ac:dyDescent="0.25">
      <c r="A135" t="str">
        <f>Texte!A110</f>
        <v>370</v>
      </c>
      <c r="B135" t="str">
        <f>VLOOKUP(Tabelle_Abfrage_von_MS_Access_Database4[[#This Row],[LAND]],Texte!$A$4:$C$261,Texte!$A$1+1,FALSE)</f>
        <v>Madagaskar</v>
      </c>
      <c r="C135">
        <v>133</v>
      </c>
      <c r="D135" s="11"/>
      <c r="E135" s="11" t="e">
        <f>LOOKUP(D135,Land_Wert,Tabelle_Abfrage_von_MS_Access_Database4[Partnerland])</f>
        <v>#N/A</v>
      </c>
    </row>
    <row r="136" spans="1:5" x14ac:dyDescent="0.25">
      <c r="A136" t="str">
        <f>Texte!A117</f>
        <v>386</v>
      </c>
      <c r="B136" t="str">
        <f>VLOOKUP(Tabelle_Abfrage_von_MS_Access_Database4[[#This Row],[LAND]],Texte!$A$4:$C$261,Texte!$A$1+1,FALSE)</f>
        <v>Malawi</v>
      </c>
      <c r="C136">
        <v>134</v>
      </c>
      <c r="D136" s="11"/>
      <c r="E136" s="11" t="e">
        <f>LOOKUP(D136,Land_Wert,Tabelle_Abfrage_von_MS_Access_Database4[Partnerland])</f>
        <v>#N/A</v>
      </c>
    </row>
    <row r="137" spans="1:5" x14ac:dyDescent="0.25">
      <c r="A137" t="str">
        <f>Texte!A207</f>
        <v>701</v>
      </c>
      <c r="B137" t="str">
        <f>VLOOKUP(Tabelle_Abfrage_von_MS_Access_Database4[[#This Row],[LAND]],Texte!$A$4:$C$261,Texte!$A$1+1,FALSE)</f>
        <v>Malaysia</v>
      </c>
      <c r="C137">
        <v>135</v>
      </c>
      <c r="D137" s="11"/>
      <c r="E137" s="11" t="e">
        <f>LOOKUP(D137,Land_Wert,Tabelle_Abfrage_von_MS_Access_Database4[Partnerland])</f>
        <v>#N/A</v>
      </c>
    </row>
    <row r="138" spans="1:5" x14ac:dyDescent="0.25">
      <c r="A138" t="str">
        <f>Texte!A197</f>
        <v>667</v>
      </c>
      <c r="B138" t="str">
        <f>VLOOKUP(Tabelle_Abfrage_von_MS_Access_Database4[[#This Row],[LAND]],Texte!$A$4:$C$261,Texte!$A$1+1,FALSE)</f>
        <v>Malediven</v>
      </c>
      <c r="C138">
        <v>136</v>
      </c>
      <c r="D138" s="11"/>
      <c r="E138" s="11" t="e">
        <f>LOOKUP(D138,Land_Wert,Tabelle_Abfrage_von_MS_Access_Database4[Partnerland])</f>
        <v>#N/A</v>
      </c>
    </row>
    <row r="139" spans="1:5" x14ac:dyDescent="0.25">
      <c r="A139" t="str">
        <f>Texte!A73</f>
        <v>232</v>
      </c>
      <c r="B139" t="str">
        <f>VLOOKUP(Tabelle_Abfrage_von_MS_Access_Database4[[#This Row],[LAND]],Texte!$A$4:$C$261,Texte!$A$1+1,FALSE)</f>
        <v>Mali</v>
      </c>
      <c r="C139">
        <v>137</v>
      </c>
      <c r="D139" s="11"/>
      <c r="E139" s="11" t="e">
        <f>LOOKUP(D139,Land_Wert,Tabelle_Abfrage_von_MS_Access_Database4[Partnerland])</f>
        <v>#N/A</v>
      </c>
    </row>
    <row r="140" spans="1:5" x14ac:dyDescent="0.25">
      <c r="A140" t="str">
        <f>Texte!A31</f>
        <v>046</v>
      </c>
      <c r="B140" t="str">
        <f>VLOOKUP(Tabelle_Abfrage_von_MS_Access_Database4[[#This Row],[LAND]],Texte!$A$4:$C$261,Texte!$A$1+1,FALSE)</f>
        <v>Malta</v>
      </c>
      <c r="C140">
        <v>138</v>
      </c>
      <c r="D140" s="11"/>
      <c r="E140" s="11" t="e">
        <f>LOOKUP(D140,Land_Wert,Tabelle_Abfrage_von_MS_Access_Database4[Partnerland])</f>
        <v>#N/A</v>
      </c>
    </row>
    <row r="141" spans="1:5" x14ac:dyDescent="0.25">
      <c r="A141" t="str">
        <f>Texte!A64</f>
        <v>204</v>
      </c>
      <c r="B141" t="str">
        <f>VLOOKUP(Tabelle_Abfrage_von_MS_Access_Database4[[#This Row],[LAND]],Texte!$A$4:$C$261,Texte!$A$1+1,FALSE)</f>
        <v>Marokko</v>
      </c>
      <c r="C141">
        <v>139</v>
      </c>
      <c r="D141" s="11"/>
      <c r="E141" s="11" t="e">
        <f>LOOKUP(D141,Land_Wert,Tabelle_Abfrage_von_MS_Access_Database4[Partnerland])</f>
        <v>#N/A</v>
      </c>
    </row>
    <row r="142" spans="1:5" x14ac:dyDescent="0.25">
      <c r="A142" t="str">
        <f>Texte!A239</f>
        <v>824</v>
      </c>
      <c r="B142" t="str">
        <f>VLOOKUP(Tabelle_Abfrage_von_MS_Access_Database4[[#This Row],[LAND]],Texte!$A$4:$C$261,Texte!$A$1+1,FALSE)</f>
        <v>Marshall-Inseln</v>
      </c>
      <c r="C142">
        <v>140</v>
      </c>
      <c r="D142" s="11"/>
      <c r="E142" s="11" t="e">
        <f>LOOKUP(D142,Land_Wert,Tabelle_Abfrage_von_MS_Access_Database4[Partnerland])</f>
        <v>#N/A</v>
      </c>
    </row>
    <row r="143" spans="1:5" x14ac:dyDescent="0.25">
      <c r="A143" t="str">
        <f>Texte!A147</f>
        <v>462</v>
      </c>
      <c r="B143" t="str">
        <f>VLOOKUP(Tabelle_Abfrage_von_MS_Access_Database4[[#This Row],[LAND]],Texte!$A$4:$C$261,Texte!$A$1+1,FALSE)</f>
        <v>Martinique</v>
      </c>
      <c r="C143">
        <v>141</v>
      </c>
      <c r="D143" s="11"/>
      <c r="E143" s="11" t="e">
        <f>LOOKUP(D143,Land_Wert,Tabelle_Abfrage_von_MS_Access_Database4[Partnerland])</f>
        <v>#N/A</v>
      </c>
    </row>
    <row r="144" spans="1:5" x14ac:dyDescent="0.25">
      <c r="A144" t="str">
        <f>Texte!A71</f>
        <v>228</v>
      </c>
      <c r="B144" t="str">
        <f>VLOOKUP(Tabelle_Abfrage_von_MS_Access_Database4[[#This Row],[LAND]],Texte!$A$4:$C$261,Texte!$A$1+1,FALSE)</f>
        <v>Mauretanien</v>
      </c>
      <c r="C144">
        <v>142</v>
      </c>
      <c r="D144" s="11"/>
      <c r="E144" s="11" t="e">
        <f>LOOKUP(D144,Land_Wert,Tabelle_Abfrage_von_MS_Access_Database4[Partnerland])</f>
        <v>#N/A</v>
      </c>
    </row>
    <row r="145" spans="1:5" x14ac:dyDescent="0.25">
      <c r="A145" t="str">
        <f>Texte!A112</f>
        <v>373</v>
      </c>
      <c r="B145" t="str">
        <f>VLOOKUP(Tabelle_Abfrage_von_MS_Access_Database4[[#This Row],[LAND]],Texte!$A$4:$C$261,Texte!$A$1+1,FALSE)</f>
        <v>Mauritius</v>
      </c>
      <c r="C145">
        <v>143</v>
      </c>
      <c r="D145" s="11"/>
      <c r="E145" s="11" t="e">
        <f>LOOKUP(D145,Land_Wert,Tabelle_Abfrage_von_MS_Access_Database4[Partnerland])</f>
        <v>#N/A</v>
      </c>
    </row>
    <row r="146" spans="1:5" x14ac:dyDescent="0.25">
      <c r="A146" t="str">
        <f>Texte!A114</f>
        <v>377</v>
      </c>
      <c r="B146" t="str">
        <f>VLOOKUP(Tabelle_Abfrage_von_MS_Access_Database4[[#This Row],[LAND]],Texte!$A$4:$C$261,Texte!$A$1+1,FALSE)</f>
        <v>Mayotte</v>
      </c>
      <c r="C146">
        <v>144</v>
      </c>
      <c r="D146" s="11"/>
      <c r="E146" s="11" t="e">
        <f>LOOKUP(D146,Land_Wert,Tabelle_Abfrage_von_MS_Access_Database4[Partnerland])</f>
        <v>#N/A</v>
      </c>
    </row>
    <row r="147" spans="1:5" x14ac:dyDescent="0.25">
      <c r="A147" t="str">
        <f>Texte!A19</f>
        <v>023</v>
      </c>
      <c r="B147" t="str">
        <f>VLOOKUP(Tabelle_Abfrage_von_MS_Access_Database4[[#This Row],[LAND]],Texte!$A$4:$C$261,Texte!$A$1+1,FALSE)</f>
        <v>Melilla</v>
      </c>
      <c r="C147">
        <v>145</v>
      </c>
      <c r="D147" s="13"/>
      <c r="E147" s="11" t="e">
        <f>LOOKUP(D147,Land_Wert,Tabelle_Abfrage_von_MS_Access_Database4[Partnerland])</f>
        <v>#N/A</v>
      </c>
    </row>
    <row r="148" spans="1:5" x14ac:dyDescent="0.25">
      <c r="A148" t="str">
        <f>Texte!A127</f>
        <v>412</v>
      </c>
      <c r="B148" t="str">
        <f>VLOOKUP(Tabelle_Abfrage_von_MS_Access_Database4[[#This Row],[LAND]],Texte!$A$4:$C$261,Texte!$A$1+1,FALSE)</f>
        <v>Mexiko</v>
      </c>
      <c r="C148">
        <v>146</v>
      </c>
      <c r="D148" s="11"/>
      <c r="E148" s="11" t="e">
        <f>LOOKUP(D148,Land_Wert,Tabelle_Abfrage_von_MS_Access_Database4[Partnerland])</f>
        <v>#N/A</v>
      </c>
    </row>
    <row r="149" spans="1:5" x14ac:dyDescent="0.25">
      <c r="A149" t="str">
        <f>Texte!A46</f>
        <v>074</v>
      </c>
      <c r="B149" t="str">
        <f>VLOOKUP(Tabelle_Abfrage_von_MS_Access_Database4[[#This Row],[LAND]],Texte!$A$4:$C$261,Texte!$A$1+1,FALSE)</f>
        <v>Moldau</v>
      </c>
      <c r="C149">
        <v>147</v>
      </c>
      <c r="D149" s="11"/>
      <c r="E149" s="11" t="e">
        <f>LOOKUP(D149,Land_Wert,Tabelle_Abfrage_von_MS_Access_Database4[Partnerland])</f>
        <v>#N/A</v>
      </c>
    </row>
    <row r="150" spans="1:5" x14ac:dyDescent="0.25">
      <c r="A150" t="str">
        <f>Texte!A211</f>
        <v>716</v>
      </c>
      <c r="B150" t="str">
        <f>VLOOKUP(Tabelle_Abfrage_von_MS_Access_Database4[[#This Row],[LAND]],Texte!$A$4:$C$261,Texte!$A$1+1,FALSE)</f>
        <v>Mongolei</v>
      </c>
      <c r="C150">
        <v>148</v>
      </c>
      <c r="D150" s="11"/>
      <c r="E150" s="11" t="e">
        <f>LOOKUP(D150,Land_Wert,Tabelle_Abfrage_von_MS_Access_Database4[Partnerland])</f>
        <v>#N/A</v>
      </c>
    </row>
    <row r="151" spans="1:5" x14ac:dyDescent="0.25">
      <c r="A151" t="str">
        <f>Texte!A62</f>
        <v>097</v>
      </c>
      <c r="B151" t="str">
        <f>VLOOKUP(Tabelle_Abfrage_von_MS_Access_Database4[[#This Row],[LAND]],Texte!$A$4:$C$261,Texte!$A$1+1,FALSE)</f>
        <v>Montenegro</v>
      </c>
      <c r="C151">
        <v>149</v>
      </c>
      <c r="D151" s="11"/>
      <c r="E151" s="11" t="e">
        <f>LOOKUP(D151,Land_Wert,Tabelle_Abfrage_von_MS_Access_Database4[Partnerland])</f>
        <v>#N/A</v>
      </c>
    </row>
    <row r="152" spans="1:5" x14ac:dyDescent="0.25">
      <c r="A152" t="str">
        <f>Texte!A155</f>
        <v>470</v>
      </c>
      <c r="B152" t="str">
        <f>VLOOKUP(Tabelle_Abfrage_von_MS_Access_Database4[[#This Row],[LAND]],Texte!$A$4:$C$261,Texte!$A$1+1,FALSE)</f>
        <v>Montserrat</v>
      </c>
      <c r="C152">
        <v>150</v>
      </c>
      <c r="D152" s="11"/>
      <c r="E152" s="11" t="e">
        <f>LOOKUP(D152,Land_Wert,Tabelle_Abfrage_von_MS_Access_Database4[Partnerland])</f>
        <v>#N/A</v>
      </c>
    </row>
    <row r="153" spans="1:5" x14ac:dyDescent="0.25">
      <c r="A153" t="str">
        <f>Texte!A109</f>
        <v>366</v>
      </c>
      <c r="B153" t="str">
        <f>VLOOKUP(Tabelle_Abfrage_von_MS_Access_Database4[[#This Row],[LAND]],Texte!$A$4:$C$261,Texte!$A$1+1,FALSE)</f>
        <v>Mosambik</v>
      </c>
      <c r="C153">
        <v>151</v>
      </c>
      <c r="D153" s="11"/>
      <c r="E153" s="11" t="e">
        <f>LOOKUP(D153,Land_Wert,Tabelle_Abfrage_von_MS_Access_Database4[Partnerland])</f>
        <v>#N/A</v>
      </c>
    </row>
    <row r="154" spans="1:5" x14ac:dyDescent="0.25">
      <c r="A154" t="str">
        <f>Texte!A201</f>
        <v>676</v>
      </c>
      <c r="B154" t="str">
        <f>VLOOKUP(Tabelle_Abfrage_von_MS_Access_Database4[[#This Row],[LAND]],Texte!$A$4:$C$261,Texte!$A$1+1,FALSE)</f>
        <v>Myanmar</v>
      </c>
      <c r="C154">
        <v>152</v>
      </c>
      <c r="D154" s="11"/>
      <c r="E154" s="11" t="e">
        <f>LOOKUP(D154,Land_Wert,Tabelle_Abfrage_von_MS_Access_Database4[Partnerland])</f>
        <v>#N/A</v>
      </c>
    </row>
    <row r="155" spans="1:5" x14ac:dyDescent="0.25">
      <c r="A155" t="str">
        <f>Texte!A119</f>
        <v>389</v>
      </c>
      <c r="B155" t="str">
        <f>VLOOKUP(Tabelle_Abfrage_von_MS_Access_Database4[[#This Row],[LAND]],Texte!$A$4:$C$261,Texte!$A$1+1,FALSE)</f>
        <v>Namibia</v>
      </c>
      <c r="C155">
        <v>153</v>
      </c>
      <c r="D155" s="11"/>
      <c r="E155" s="11" t="e">
        <f>LOOKUP(D155,Land_Wert,Tabelle_Abfrage_von_MS_Access_Database4[Partnerland])</f>
        <v>#N/A</v>
      </c>
    </row>
    <row r="156" spans="1:5" x14ac:dyDescent="0.25">
      <c r="A156" t="str">
        <f>Texte!A222</f>
        <v>803</v>
      </c>
      <c r="B156" t="str">
        <f>VLOOKUP(Tabelle_Abfrage_von_MS_Access_Database4[[#This Row],[LAND]],Texte!$A$4:$C$261,Texte!$A$1+1,FALSE)</f>
        <v>Nauru</v>
      </c>
      <c r="C156">
        <v>154</v>
      </c>
      <c r="D156" s="11"/>
      <c r="E156" s="11" t="e">
        <f>LOOKUP(D156,Land_Wert,Tabelle_Abfrage_von_MS_Access_Database4[Partnerland])</f>
        <v>#N/A</v>
      </c>
    </row>
    <row r="157" spans="1:5" x14ac:dyDescent="0.25">
      <c r="A157" t="str">
        <f>Texte!A199</f>
        <v>672</v>
      </c>
      <c r="B157" t="str">
        <f>VLOOKUP(Tabelle_Abfrage_von_MS_Access_Database4[[#This Row],[LAND]],Texte!$A$4:$C$261,Texte!$A$1+1,FALSE)</f>
        <v>Nepal</v>
      </c>
      <c r="C157">
        <v>155</v>
      </c>
      <c r="D157" s="11"/>
      <c r="E157" s="11" t="e">
        <f>LOOKUP(D157,Land_Wert,Tabelle_Abfrage_von_MS_Access_Database4[Partnerland])</f>
        <v>#N/A</v>
      </c>
    </row>
    <row r="158" spans="1:5" x14ac:dyDescent="0.25">
      <c r="A158" t="str">
        <f>Texte!A226</f>
        <v>809</v>
      </c>
      <c r="B158" t="str">
        <f>VLOOKUP(Tabelle_Abfrage_von_MS_Access_Database4[[#This Row],[LAND]],Texte!$A$4:$C$261,Texte!$A$1+1,FALSE)</f>
        <v>Neukaledonien</v>
      </c>
      <c r="C158">
        <v>156</v>
      </c>
      <c r="D158" s="11"/>
      <c r="E158" s="11" t="e">
        <f>LOOKUP(D158,Land_Wert,Tabelle_Abfrage_von_MS_Access_Database4[Partnerland])</f>
        <v>#N/A</v>
      </c>
    </row>
    <row r="159" spans="1:5" x14ac:dyDescent="0.25">
      <c r="A159" t="str">
        <f>Texte!A223</f>
        <v>804</v>
      </c>
      <c r="B159" t="str">
        <f>VLOOKUP(Tabelle_Abfrage_von_MS_Access_Database4[[#This Row],[LAND]],Texte!$A$4:$C$261,Texte!$A$1+1,FALSE)</f>
        <v>Neuseeland</v>
      </c>
      <c r="C159">
        <v>157</v>
      </c>
      <c r="D159" s="11"/>
      <c r="E159" s="11" t="e">
        <f>LOOKUP(D159,Land_Wert,Tabelle_Abfrage_von_MS_Access_Database4[Partnerland])</f>
        <v>#N/A</v>
      </c>
    </row>
    <row r="160" spans="1:5" x14ac:dyDescent="0.25">
      <c r="A160" t="str">
        <f>Texte!A231</f>
        <v>814</v>
      </c>
      <c r="B160" t="str">
        <f>VLOOKUP(Tabelle_Abfrage_von_MS_Access_Database4[[#This Row],[LAND]],Texte!$A$4:$C$261,Texte!$A$1+1,FALSE)</f>
        <v>Neuseeld.Ozeanien</v>
      </c>
      <c r="C160">
        <v>158</v>
      </c>
      <c r="D160" s="11"/>
      <c r="E160" s="11" t="e">
        <f>LOOKUP(D160,Land_Wert,Tabelle_Abfrage_von_MS_Access_Database4[Partnerland])</f>
        <v>#N/A</v>
      </c>
    </row>
    <row r="161" spans="1:5" x14ac:dyDescent="0.25">
      <c r="A161" t="str">
        <f>Texte!A133</f>
        <v>432</v>
      </c>
      <c r="B161" t="str">
        <f>VLOOKUP(Tabelle_Abfrage_von_MS_Access_Database4[[#This Row],[LAND]],Texte!$A$4:$C$261,Texte!$A$1+1,FALSE)</f>
        <v>Nicaragua</v>
      </c>
      <c r="C161">
        <v>159</v>
      </c>
      <c r="D161" s="11"/>
      <c r="E161" s="11" t="e">
        <f>LOOKUP(D161,Land_Wert,Tabelle_Abfrage_von_MS_Access_Database4[Partnerland])</f>
        <v>#N/A</v>
      </c>
    </row>
    <row r="162" spans="1:5" x14ac:dyDescent="0.25">
      <c r="A162" t="str">
        <f>Texte!A259</f>
        <v>959</v>
      </c>
      <c r="B162" t="str">
        <f>VLOOKUP(Tabelle_Abfrage_von_MS_Access_Database4[[#This Row],[LAND]],Texte!$A$4:$C$261,Texte!$A$1+1,FALSE)</f>
        <v>Nicht ermitt. Gebiete EU</v>
      </c>
      <c r="C162">
        <v>160</v>
      </c>
      <c r="D162" s="11"/>
      <c r="E162" s="11" t="e">
        <f>LOOKUP(D162,Land_Wert,Tabelle_Abfrage_von_MS_Access_Database4[Partnerland])</f>
        <v>#N/A</v>
      </c>
    </row>
    <row r="163" spans="1:5" x14ac:dyDescent="0.25">
      <c r="A163" t="str">
        <f>Texte!A260</f>
        <v>960</v>
      </c>
      <c r="B163" t="str">
        <f>VLOOKUP(Tabelle_Abfrage_von_MS_Access_Database4[[#This Row],[LAND]],Texte!$A$4:$C$261,Texte!$A$1+1,FALSE)</f>
        <v>Nicht ermitt.Drittstaaten</v>
      </c>
      <c r="C163">
        <v>161</v>
      </c>
      <c r="D163" s="11"/>
      <c r="E163" s="11" t="e">
        <f>LOOKUP(D163,Land_Wert,Tabelle_Abfrage_von_MS_Access_Database4[Partnerland])</f>
        <v>#N/A</v>
      </c>
    </row>
    <row r="164" spans="1:5" x14ac:dyDescent="0.25">
      <c r="A164" t="str">
        <f>Texte!A6</f>
        <v>003</v>
      </c>
      <c r="B164" t="str">
        <f>VLOOKUP(Tabelle_Abfrage_von_MS_Access_Database4[[#This Row],[LAND]],Texte!$A$4:$C$261,Texte!$A$1+1,FALSE)</f>
        <v>Niederlande</v>
      </c>
      <c r="C164">
        <v>162</v>
      </c>
      <c r="D164" s="11"/>
      <c r="E164" s="12" t="e">
        <f>LOOKUP(D164,Land_Wert,Tabelle_Abfrage_von_MS_Access_Database4[Partnerland])</f>
        <v>#N/A</v>
      </c>
    </row>
    <row r="165" spans="1:5" x14ac:dyDescent="0.25">
      <c r="A165" t="str">
        <f>Texte!A161</f>
        <v>478</v>
      </c>
      <c r="B165" t="str">
        <f>VLOOKUP(Tabelle_Abfrage_von_MS_Access_Database4[[#This Row],[LAND]],Texte!$A$4:$C$261,Texte!$A$1+1,FALSE)</f>
        <v>Niederländische Antillen</v>
      </c>
      <c r="C165">
        <v>163</v>
      </c>
      <c r="D165" s="11"/>
      <c r="E165" s="11" t="e">
        <f>LOOKUP(D165,Land_Wert,Tabelle_Abfrage_von_MS_Access_Database4[Partnerland])</f>
        <v>#N/A</v>
      </c>
    </row>
    <row r="166" spans="1:5" x14ac:dyDescent="0.25">
      <c r="A166" t="str">
        <f>Texte!A75</f>
        <v>240</v>
      </c>
      <c r="B166" t="str">
        <f>VLOOKUP(Tabelle_Abfrage_von_MS_Access_Database4[[#This Row],[LAND]],Texte!$A$4:$C$261,Texte!$A$1+1,FALSE)</f>
        <v>Niger</v>
      </c>
      <c r="C166">
        <v>164</v>
      </c>
      <c r="D166" s="11"/>
      <c r="E166" s="11" t="e">
        <f>LOOKUP(D166,Land_Wert,Tabelle_Abfrage_von_MS_Access_Database4[Partnerland])</f>
        <v>#N/A</v>
      </c>
    </row>
    <row r="167" spans="1:5" x14ac:dyDescent="0.25">
      <c r="A167" t="str">
        <f>Texte!A88</f>
        <v>288</v>
      </c>
      <c r="B167" t="str">
        <f>VLOOKUP(Tabelle_Abfrage_von_MS_Access_Database4[[#This Row],[LAND]],Texte!$A$4:$C$261,Texte!$A$1+1,FALSE)</f>
        <v>Nigeria</v>
      </c>
      <c r="C167">
        <v>165</v>
      </c>
      <c r="D167" s="11"/>
      <c r="E167" s="11" t="e">
        <f>LOOKUP(D167,Land_Wert,Tabelle_Abfrage_von_MS_Access_Database4[Partnerland])</f>
        <v>#N/A</v>
      </c>
    </row>
    <row r="168" spans="1:5" x14ac:dyDescent="0.25">
      <c r="A168" t="str">
        <f>Texte!A249</f>
        <v>838</v>
      </c>
      <c r="B168" t="str">
        <f>VLOOKUP(Tabelle_Abfrage_von_MS_Access_Database4[[#This Row],[LAND]],Texte!$A$4:$C$261,Texte!$A$1+1,FALSE)</f>
        <v>Niue</v>
      </c>
      <c r="C168">
        <v>166</v>
      </c>
      <c r="D168" s="11"/>
      <c r="E168" s="11" t="e">
        <f>LOOKUP(D168,Land_Wert,Tabelle_Abfrage_von_MS_Access_Database4[Partnerland])</f>
        <v>#N/A</v>
      </c>
    </row>
    <row r="169" spans="1:5" x14ac:dyDescent="0.25">
      <c r="A169" t="str">
        <f>Texte!A213</f>
        <v>724</v>
      </c>
      <c r="B169" t="str">
        <f>VLOOKUP(Tabelle_Abfrage_von_MS_Access_Database4[[#This Row],[LAND]],Texte!$A$4:$C$261,Texte!$A$1+1,FALSE)</f>
        <v>Nordkorea</v>
      </c>
      <c r="C169">
        <v>167</v>
      </c>
      <c r="D169" s="11"/>
      <c r="E169" s="11" t="e">
        <f>LOOKUP(D169,Land_Wert,Tabelle_Abfrage_von_MS_Access_Database4[Partnerland])</f>
        <v>#N/A</v>
      </c>
    </row>
    <row r="170" spans="1:5" x14ac:dyDescent="0.25">
      <c r="A170" t="str">
        <f>Texte!A236</f>
        <v>820</v>
      </c>
      <c r="B170" t="str">
        <f>VLOOKUP(Tabelle_Abfrage_von_MS_Access_Database4[[#This Row],[LAND]],Texte!$A$4:$C$261,Texte!$A$1+1,FALSE)</f>
        <v>Nördliche Marianen</v>
      </c>
      <c r="C170">
        <v>168</v>
      </c>
      <c r="D170" s="11"/>
      <c r="E170" s="11" t="e">
        <f>LOOKUP(D170,Land_Wert,Tabelle_Abfrage_von_MS_Access_Database4[Partnerland])</f>
        <v>#N/A</v>
      </c>
    </row>
    <row r="171" spans="1:5" x14ac:dyDescent="0.25">
      <c r="A171" t="str">
        <f>Texte!A247</f>
        <v>836</v>
      </c>
      <c r="B171" t="str">
        <f>VLOOKUP(Tabelle_Abfrage_von_MS_Access_Database4[[#This Row],[LAND]],Texte!$A$4:$C$261,Texte!$A$1+1,FALSE)</f>
        <v>Norfolkinseln</v>
      </c>
      <c r="C171">
        <v>169</v>
      </c>
      <c r="D171" s="11"/>
      <c r="E171" s="11" t="e">
        <f>LOOKUP(D171,Land_Wert,Tabelle_Abfrage_von_MS_Access_Database4[Partnerland])</f>
        <v>#N/A</v>
      </c>
    </row>
    <row r="172" spans="1:5" x14ac:dyDescent="0.25">
      <c r="A172" t="str">
        <f>Texte!A22</f>
        <v>028</v>
      </c>
      <c r="B172" t="str">
        <f>VLOOKUP(Tabelle_Abfrage_von_MS_Access_Database4[[#This Row],[LAND]],Texte!$A$4:$C$261,Texte!$A$1+1,FALSE)</f>
        <v>Norwegen</v>
      </c>
      <c r="C172">
        <v>170</v>
      </c>
      <c r="D172" s="11"/>
      <c r="E172" s="11" t="e">
        <f>LOOKUP(D172,Land_Wert,Tabelle_Abfrage_von_MS_Access_Database4[Partnerland])</f>
        <v>#N/A</v>
      </c>
    </row>
    <row r="173" spans="1:5" x14ac:dyDescent="0.25">
      <c r="A173" t="str">
        <f>Texte!A191</f>
        <v>649</v>
      </c>
      <c r="B173" t="str">
        <f>VLOOKUP(Tabelle_Abfrage_von_MS_Access_Database4[[#This Row],[LAND]],Texte!$A$4:$C$261,Texte!$A$1+1,FALSE)</f>
        <v>Oman</v>
      </c>
      <c r="C173">
        <v>171</v>
      </c>
      <c r="D173" s="11"/>
      <c r="E173" s="11" t="e">
        <f>LOOKUP(D173,Land_Wert,Tabelle_Abfrage_von_MS_Access_Database4[Partnerland])</f>
        <v>#N/A</v>
      </c>
    </row>
    <row r="174" spans="1:5" x14ac:dyDescent="0.25">
      <c r="A174" t="str">
        <f>Texte!A194</f>
        <v>662</v>
      </c>
      <c r="B174" t="str">
        <f>VLOOKUP(Tabelle_Abfrage_von_MS_Access_Database4[[#This Row],[LAND]],Texte!$A$4:$C$261,Texte!$A$1+1,FALSE)</f>
        <v>Pakistan</v>
      </c>
      <c r="C174">
        <v>172</v>
      </c>
      <c r="D174" s="11"/>
      <c r="E174" s="11" t="e">
        <f>LOOKUP(D174,Land_Wert,Tabelle_Abfrage_von_MS_Access_Database4[Partnerland])</f>
        <v>#N/A</v>
      </c>
    </row>
    <row r="175" spans="1:5" x14ac:dyDescent="0.25">
      <c r="A175" t="str">
        <f>Texte!A240</f>
        <v>825</v>
      </c>
      <c r="B175" t="str">
        <f>VLOOKUP(Tabelle_Abfrage_von_MS_Access_Database4[[#This Row],[LAND]],Texte!$A$4:$C$261,Texte!$A$1+1,FALSE)</f>
        <v>Palau</v>
      </c>
      <c r="C175">
        <v>173</v>
      </c>
      <c r="D175" s="11"/>
      <c r="E175" s="11" t="e">
        <f>LOOKUP(D175,Land_Wert,Tabelle_Abfrage_von_MS_Access_Database4[Partnerland])</f>
        <v>#N/A</v>
      </c>
    </row>
    <row r="176" spans="1:5" x14ac:dyDescent="0.25">
      <c r="A176" t="str">
        <f>Texte!A135</f>
        <v>442</v>
      </c>
      <c r="B176" t="str">
        <f>VLOOKUP(Tabelle_Abfrage_von_MS_Access_Database4[[#This Row],[LAND]],Texte!$A$4:$C$261,Texte!$A$1+1,FALSE)</f>
        <v>Panama</v>
      </c>
      <c r="C176">
        <v>174</v>
      </c>
      <c r="D176" s="11"/>
      <c r="E176" s="11" t="e">
        <f>LOOKUP(D176,Land_Wert,Tabelle_Abfrage_von_MS_Access_Database4[Partnerland])</f>
        <v>#N/A</v>
      </c>
    </row>
    <row r="177" spans="1:5" x14ac:dyDescent="0.25">
      <c r="A177" t="str">
        <f>Texte!A220</f>
        <v>801</v>
      </c>
      <c r="B177" t="str">
        <f>VLOOKUP(Tabelle_Abfrage_von_MS_Access_Database4[[#This Row],[LAND]],Texte!$A$4:$C$261,Texte!$A$1+1,FALSE)</f>
        <v>Papua-Neuguinea</v>
      </c>
      <c r="C177">
        <v>175</v>
      </c>
      <c r="D177" s="11"/>
      <c r="E177" s="11" t="e">
        <f>LOOKUP(D177,Land_Wert,Tabelle_Abfrage_von_MS_Access_Database4[Partnerland])</f>
        <v>#N/A</v>
      </c>
    </row>
    <row r="178" spans="1:5" x14ac:dyDescent="0.25">
      <c r="A178" t="str">
        <f>Texte!A173</f>
        <v>520</v>
      </c>
      <c r="B178" t="str">
        <f>VLOOKUP(Tabelle_Abfrage_von_MS_Access_Database4[[#This Row],[LAND]],Texte!$A$4:$C$261,Texte!$A$1+1,FALSE)</f>
        <v>Paraguay</v>
      </c>
      <c r="C178">
        <v>176</v>
      </c>
      <c r="D178" s="11"/>
      <c r="E178" s="11" t="e">
        <f>LOOKUP(D178,Land_Wert,Tabelle_Abfrage_von_MS_Access_Database4[Partnerland])</f>
        <v>#N/A</v>
      </c>
    </row>
    <row r="179" spans="1:5" x14ac:dyDescent="0.25">
      <c r="A179" t="str">
        <f>Texte!A169</f>
        <v>504</v>
      </c>
      <c r="B179" t="str">
        <f>VLOOKUP(Tabelle_Abfrage_von_MS_Access_Database4[[#This Row],[LAND]],Texte!$A$4:$C$261,Texte!$A$1+1,FALSE)</f>
        <v>Peru</v>
      </c>
      <c r="C179">
        <v>177</v>
      </c>
      <c r="D179" s="11"/>
      <c r="E179" s="11" t="e">
        <f>LOOKUP(D179,Land_Wert,Tabelle_Abfrage_von_MS_Access_Database4[Partnerland])</f>
        <v>#N/A</v>
      </c>
    </row>
    <row r="180" spans="1:5" x14ac:dyDescent="0.25">
      <c r="A180" t="str">
        <f>Texte!A210</f>
        <v>708</v>
      </c>
      <c r="B180" t="str">
        <f>VLOOKUP(Tabelle_Abfrage_von_MS_Access_Database4[[#This Row],[LAND]],Texte!$A$4:$C$261,Texte!$A$1+1,FALSE)</f>
        <v>Philippinen</v>
      </c>
      <c r="C180">
        <v>178</v>
      </c>
      <c r="D180" s="11"/>
      <c r="E180" s="11" t="e">
        <f>LOOKUP(D180,Land_Wert,Tabelle_Abfrage_von_MS_Access_Database4[Partnerland])</f>
        <v>#N/A</v>
      </c>
    </row>
    <row r="181" spans="1:5" x14ac:dyDescent="0.25">
      <c r="A181" t="str">
        <f>Texte!A230</f>
        <v>813</v>
      </c>
      <c r="B181" t="str">
        <f>VLOOKUP(Tabelle_Abfrage_von_MS_Access_Database4[[#This Row],[LAND]],Texte!$A$4:$C$261,Texte!$A$1+1,FALSE)</f>
        <v>Pitcairn</v>
      </c>
      <c r="C181">
        <v>179</v>
      </c>
      <c r="D181" s="11"/>
      <c r="E181" s="11" t="e">
        <f>LOOKUP(D181,Land_Wert,Tabelle_Abfrage_von_MS_Access_Database4[Partnerland])</f>
        <v>#N/A</v>
      </c>
    </row>
    <row r="182" spans="1:5" x14ac:dyDescent="0.25">
      <c r="A182" t="str">
        <f>Texte!A251</f>
        <v>890</v>
      </c>
      <c r="B182" t="str">
        <f>VLOOKUP(Tabelle_Abfrage_von_MS_Access_Database4[[#This Row],[LAND]],Texte!$A$4:$C$261,Texte!$A$1+1,FALSE)</f>
        <v>Polargebiete</v>
      </c>
      <c r="C182">
        <v>180</v>
      </c>
      <c r="D182" s="11"/>
      <c r="E182" s="11" t="e">
        <f>LOOKUP(D182,Land_Wert,Tabelle_Abfrage_von_MS_Access_Database4[Partnerland])</f>
        <v>#N/A</v>
      </c>
    </row>
    <row r="183" spans="1:5" x14ac:dyDescent="0.25">
      <c r="A183" t="str">
        <f>Texte!A37</f>
        <v>060</v>
      </c>
      <c r="B183" t="str">
        <f>VLOOKUP(Tabelle_Abfrage_von_MS_Access_Database4[[#This Row],[LAND]],Texte!$A$4:$C$261,Texte!$A$1+1,FALSE)</f>
        <v>Polen</v>
      </c>
      <c r="C183">
        <v>181</v>
      </c>
      <c r="D183" s="11"/>
      <c r="E183" s="11" t="e">
        <f>LOOKUP(D183,Land_Wert,Tabelle_Abfrage_von_MS_Access_Database4[Partnerland])</f>
        <v>#N/A</v>
      </c>
    </row>
    <row r="184" spans="1:5" x14ac:dyDescent="0.25">
      <c r="A184" t="str">
        <f>Texte!A13</f>
        <v>010</v>
      </c>
      <c r="B184" t="str">
        <f>VLOOKUP(Tabelle_Abfrage_von_MS_Access_Database4[[#This Row],[LAND]],Texte!$A$4:$C$261,Texte!$A$1+1,FALSE)</f>
        <v>Portugal</v>
      </c>
      <c r="C184">
        <v>182</v>
      </c>
      <c r="D184" s="11"/>
      <c r="E184" s="12" t="e">
        <f>LOOKUP(D184,Land_Wert,Tabelle_Abfrage_von_MS_Access_Database4[Partnerland])</f>
        <v>#N/A</v>
      </c>
    </row>
    <row r="185" spans="1:5" x14ac:dyDescent="0.25">
      <c r="A185" t="str">
        <f>Texte!A94</f>
        <v>318</v>
      </c>
      <c r="B185" t="str">
        <f>VLOOKUP(Tabelle_Abfrage_von_MS_Access_Database4[[#This Row],[LAND]],Texte!$A$4:$C$261,Texte!$A$1+1,FALSE)</f>
        <v>Republik Kongo</v>
      </c>
      <c r="C185">
        <v>183</v>
      </c>
      <c r="D185" s="11"/>
      <c r="E185" s="11" t="e">
        <f>LOOKUP(D185,Land_Wert,Tabelle_Abfrage_von_MS_Access_Database4[Partnerland])</f>
        <v>#N/A</v>
      </c>
    </row>
    <row r="186" spans="1:5" x14ac:dyDescent="0.25">
      <c r="A186" t="str">
        <f>Texte!A111</f>
        <v>372</v>
      </c>
      <c r="B186" t="str">
        <f>VLOOKUP(Tabelle_Abfrage_von_MS_Access_Database4[[#This Row],[LAND]],Texte!$A$4:$C$261,Texte!$A$1+1,FALSE)</f>
        <v>Reunion</v>
      </c>
      <c r="C186">
        <v>184</v>
      </c>
      <c r="D186" s="11"/>
      <c r="E186" s="11" t="e">
        <f>LOOKUP(D186,Land_Wert,Tabelle_Abfrage_von_MS_Access_Database4[Partnerland])</f>
        <v>#N/A</v>
      </c>
    </row>
    <row r="187" spans="1:5" x14ac:dyDescent="0.25">
      <c r="A187" t="str">
        <f>Texte!A96</f>
        <v>324</v>
      </c>
      <c r="B187" t="str">
        <f>VLOOKUP(Tabelle_Abfrage_von_MS_Access_Database4[[#This Row],[LAND]],Texte!$A$4:$C$261,Texte!$A$1+1,FALSE)</f>
        <v>Ruanda</v>
      </c>
      <c r="C187">
        <v>185</v>
      </c>
      <c r="D187" s="11"/>
      <c r="E187" s="11" t="e">
        <f>LOOKUP(D187,Land_Wert,Tabelle_Abfrage_von_MS_Access_Database4[Partnerland])</f>
        <v>#N/A</v>
      </c>
    </row>
    <row r="188" spans="1:5" x14ac:dyDescent="0.25">
      <c r="A188" t="str">
        <f>Texte!A41</f>
        <v>066</v>
      </c>
      <c r="B188" t="str">
        <f>VLOOKUP(Tabelle_Abfrage_von_MS_Access_Database4[[#This Row],[LAND]],Texte!$A$4:$C$261,Texte!$A$1+1,FALSE)</f>
        <v>Rumänien</v>
      </c>
      <c r="C188">
        <v>186</v>
      </c>
      <c r="D188" s="11"/>
      <c r="E188" s="11" t="e">
        <f>LOOKUP(D188,Land_Wert,Tabelle_Abfrage_von_MS_Access_Database4[Partnerland])</f>
        <v>#N/A</v>
      </c>
    </row>
    <row r="189" spans="1:5" x14ac:dyDescent="0.25">
      <c r="A189" t="str">
        <f>Texte!A47</f>
        <v>075</v>
      </c>
      <c r="B189" t="str">
        <f>VLOOKUP(Tabelle_Abfrage_von_MS_Access_Database4[[#This Row],[LAND]],Texte!$A$4:$C$261,Texte!$A$1+1,FALSE)</f>
        <v>Russland</v>
      </c>
      <c r="C189">
        <v>187</v>
      </c>
      <c r="D189" s="11"/>
      <c r="E189" s="11" t="e">
        <f>LOOKUP(D189,Land_Wert,Tabelle_Abfrage_von_MS_Access_Database4[Partnerland])</f>
        <v>#N/A</v>
      </c>
    </row>
    <row r="190" spans="1:5" x14ac:dyDescent="0.25">
      <c r="A190" t="str">
        <f>Texte!A224</f>
        <v>806</v>
      </c>
      <c r="B190" t="str">
        <f>VLOOKUP(Tabelle_Abfrage_von_MS_Access_Database4[[#This Row],[LAND]],Texte!$A$4:$C$261,Texte!$A$1+1,FALSE)</f>
        <v>Salomonen</v>
      </c>
      <c r="C190">
        <v>188</v>
      </c>
      <c r="D190" s="11"/>
      <c r="E190" s="11" t="e">
        <f>LOOKUP(D190,Land_Wert,Tabelle_Abfrage_von_MS_Access_Database4[Partnerland])</f>
        <v>#N/A</v>
      </c>
    </row>
    <row r="191" spans="1:5" x14ac:dyDescent="0.25">
      <c r="A191" t="str">
        <f>Texte!A115</f>
        <v>378</v>
      </c>
      <c r="B191" t="str">
        <f>VLOOKUP(Tabelle_Abfrage_von_MS_Access_Database4[[#This Row],[LAND]],Texte!$A$4:$C$261,Texte!$A$1+1,FALSE)</f>
        <v>Sambia</v>
      </c>
      <c r="C191">
        <v>189</v>
      </c>
      <c r="D191" s="11"/>
      <c r="E191" s="11" t="e">
        <f>LOOKUP(D191,Land_Wert,Tabelle_Abfrage_von_MS_Access_Database4[Partnerland])</f>
        <v>#N/A</v>
      </c>
    </row>
    <row r="192" spans="1:5" x14ac:dyDescent="0.25">
      <c r="A192" t="str">
        <f>Texte!A235</f>
        <v>819</v>
      </c>
      <c r="B192" t="str">
        <f>VLOOKUP(Tabelle_Abfrage_von_MS_Access_Database4[[#This Row],[LAND]],Texte!$A$4:$C$261,Texte!$A$1+1,FALSE)</f>
        <v>Samoa</v>
      </c>
      <c r="C192">
        <v>190</v>
      </c>
      <c r="D192" s="11"/>
      <c r="E192" s="11" t="e">
        <f>LOOKUP(D192,Land_Wert,Tabelle_Abfrage_von_MS_Access_Database4[Partnerland])</f>
        <v>#N/A</v>
      </c>
    </row>
    <row r="193" spans="1:5" x14ac:dyDescent="0.25">
      <c r="A193" t="str">
        <f>Texte!A32</f>
        <v>047</v>
      </c>
      <c r="B193" t="str">
        <f>VLOOKUP(Tabelle_Abfrage_von_MS_Access_Database4[[#This Row],[LAND]],Texte!$A$4:$C$261,Texte!$A$1+1,FALSE)</f>
        <v>San Marino</v>
      </c>
      <c r="C193">
        <v>191</v>
      </c>
      <c r="D193" s="11"/>
      <c r="E193" s="11" t="e">
        <f>LOOKUP(D193,Land_Wert,Tabelle_Abfrage_von_MS_Access_Database4[Partnerland])</f>
        <v>#N/A</v>
      </c>
    </row>
    <row r="194" spans="1:5" x14ac:dyDescent="0.25">
      <c r="A194" t="str">
        <f>Texte!A92</f>
        <v>311</v>
      </c>
      <c r="B194" t="str">
        <f>VLOOKUP(Tabelle_Abfrage_von_MS_Access_Database4[[#This Row],[LAND]],Texte!$A$4:$C$261,Texte!$A$1+1,FALSE)</f>
        <v>Sao Tome und Principe</v>
      </c>
      <c r="C194">
        <v>192</v>
      </c>
      <c r="D194" s="11"/>
      <c r="E194" s="11" t="e">
        <f>LOOKUP(D194,Land_Wert,Tabelle_Abfrage_von_MS_Access_Database4[Partnerland])</f>
        <v>#N/A</v>
      </c>
    </row>
    <row r="195" spans="1:5" x14ac:dyDescent="0.25">
      <c r="A195" t="str">
        <f>Texte!A186</f>
        <v>632</v>
      </c>
      <c r="B195" t="str">
        <f>VLOOKUP(Tabelle_Abfrage_von_MS_Access_Database4[[#This Row],[LAND]],Texte!$A$4:$C$261,Texte!$A$1+1,FALSE)</f>
        <v>Saudi-Arabien</v>
      </c>
      <c r="C195">
        <v>193</v>
      </c>
      <c r="D195" s="11"/>
      <c r="E195" s="11" t="e">
        <f>LOOKUP(D195,Land_Wert,Tabelle_Abfrage_von_MS_Access_Database4[Partnerland])</f>
        <v>#N/A</v>
      </c>
    </row>
    <row r="196" spans="1:5" x14ac:dyDescent="0.25">
      <c r="A196" t="str">
        <f>Texte!A23</f>
        <v>030</v>
      </c>
      <c r="B196" t="str">
        <f>VLOOKUP(Tabelle_Abfrage_von_MS_Access_Database4[[#This Row],[LAND]],Texte!$A$4:$C$261,Texte!$A$1+1,FALSE)</f>
        <v>Schweden</v>
      </c>
      <c r="C196">
        <v>194</v>
      </c>
      <c r="D196" s="11"/>
      <c r="E196" s="11" t="e">
        <f>LOOKUP(D196,Land_Wert,Tabelle_Abfrage_von_MS_Access_Database4[Partnerland])</f>
        <v>#N/A</v>
      </c>
    </row>
    <row r="197" spans="1:5" x14ac:dyDescent="0.25">
      <c r="A197" t="str">
        <f>Texte!A26</f>
        <v>039</v>
      </c>
      <c r="B197" t="str">
        <f>VLOOKUP(Tabelle_Abfrage_von_MS_Access_Database4[[#This Row],[LAND]],Texte!$A$4:$C$261,Texte!$A$1+1,FALSE)</f>
        <v>Schweiz</v>
      </c>
      <c r="C197">
        <v>195</v>
      </c>
      <c r="D197" s="11"/>
      <c r="E197" s="11" t="e">
        <f>LOOKUP(D197,Land_Wert,Tabelle_Abfrage_von_MS_Access_Database4[Partnerland])</f>
        <v>#N/A</v>
      </c>
    </row>
    <row r="198" spans="1:5" x14ac:dyDescent="0.25">
      <c r="A198" t="str">
        <f>Texte!A78</f>
        <v>248</v>
      </c>
      <c r="B198" t="str">
        <f>VLOOKUP(Tabelle_Abfrage_von_MS_Access_Database4[[#This Row],[LAND]],Texte!$A$4:$C$261,Texte!$A$1+1,FALSE)</f>
        <v>Senegal</v>
      </c>
      <c r="C198">
        <v>196</v>
      </c>
      <c r="D198" s="11"/>
      <c r="E198" s="11" t="e">
        <f>LOOKUP(D198,Land_Wert,Tabelle_Abfrage_von_MS_Access_Database4[Partnerland])</f>
        <v>#N/A</v>
      </c>
    </row>
    <row r="199" spans="1:5" x14ac:dyDescent="0.25">
      <c r="A199" t="str">
        <f>Texte!A63</f>
        <v>098</v>
      </c>
      <c r="B199" t="str">
        <f>VLOOKUP(Tabelle_Abfrage_von_MS_Access_Database4[[#This Row],[LAND]],Texte!$A$4:$C$261,Texte!$A$1+1,FALSE)</f>
        <v>Serbien</v>
      </c>
      <c r="C199">
        <v>197</v>
      </c>
      <c r="D199" s="11"/>
      <c r="E199" s="11" t="e">
        <f>LOOKUP(D199,Land_Wert,Tabelle_Abfrage_von_MS_Access_Database4[Partnerland])</f>
        <v>#N/A</v>
      </c>
    </row>
    <row r="200" spans="1:5" x14ac:dyDescent="0.25">
      <c r="A200" t="str">
        <f>Texte!A59</f>
        <v>094</v>
      </c>
      <c r="B200" t="str">
        <f>VLOOKUP(Tabelle_Abfrage_von_MS_Access_Database4[[#This Row],[LAND]],Texte!$A$4:$C$261,Texte!$A$1+1,FALSE)</f>
        <v>Serbien und Montenegro</v>
      </c>
      <c r="C200">
        <v>198</v>
      </c>
      <c r="D200" s="11"/>
      <c r="E200" s="11" t="e">
        <f>LOOKUP(D200,Land_Wert,Tabelle_Abfrage_von_MS_Access_Database4[Partnerland])</f>
        <v>#N/A</v>
      </c>
    </row>
    <row r="201" spans="1:5" x14ac:dyDescent="0.25">
      <c r="A201" t="str">
        <f>Texte!A107</f>
        <v>355</v>
      </c>
      <c r="B201" t="str">
        <f>VLOOKUP(Tabelle_Abfrage_von_MS_Access_Database4[[#This Row],[LAND]],Texte!$A$4:$C$261,Texte!$A$1+1,FALSE)</f>
        <v>Seychellen</v>
      </c>
      <c r="C201">
        <v>199</v>
      </c>
      <c r="D201" s="11"/>
      <c r="E201" s="11" t="e">
        <f>LOOKUP(D201,Land_Wert,Tabelle_Abfrage_von_MS_Access_Database4[Partnerland])</f>
        <v>#N/A</v>
      </c>
    </row>
    <row r="202" spans="1:5" x14ac:dyDescent="0.25">
      <c r="A202" t="str">
        <f>Texte!A82</f>
        <v>264</v>
      </c>
      <c r="B202" t="str">
        <f>VLOOKUP(Tabelle_Abfrage_von_MS_Access_Database4[[#This Row],[LAND]],Texte!$A$4:$C$261,Texte!$A$1+1,FALSE)</f>
        <v>Sierra Leone</v>
      </c>
      <c r="C202">
        <v>200</v>
      </c>
      <c r="D202" s="11"/>
      <c r="E202" s="11" t="e">
        <f>LOOKUP(D202,Land_Wert,Tabelle_Abfrage_von_MS_Access_Database4[Partnerland])</f>
        <v>#N/A</v>
      </c>
    </row>
    <row r="203" spans="1:5" x14ac:dyDescent="0.25">
      <c r="A203" t="str">
        <f>Texte!A116</f>
        <v>382</v>
      </c>
      <c r="B203" t="str">
        <f>VLOOKUP(Tabelle_Abfrage_von_MS_Access_Database4[[#This Row],[LAND]],Texte!$A$4:$C$261,Texte!$A$1+1,FALSE)</f>
        <v>Simbabwe</v>
      </c>
      <c r="C203">
        <v>201</v>
      </c>
      <c r="D203" s="11"/>
      <c r="E203" s="11" t="e">
        <f>LOOKUP(D203,Land_Wert,Tabelle_Abfrage_von_MS_Access_Database4[Partnerland])</f>
        <v>#N/A</v>
      </c>
    </row>
    <row r="204" spans="1:5" x14ac:dyDescent="0.25">
      <c r="A204" t="str">
        <f>Texte!A209</f>
        <v>706</v>
      </c>
      <c r="B204" t="str">
        <f>VLOOKUP(Tabelle_Abfrage_von_MS_Access_Database4[[#This Row],[LAND]],Texte!$A$4:$C$261,Texte!$A$1+1,FALSE)</f>
        <v>Singapur</v>
      </c>
      <c r="C204">
        <v>202</v>
      </c>
      <c r="D204" s="11"/>
      <c r="E204" s="11" t="e">
        <f>LOOKUP(D204,Land_Wert,Tabelle_Abfrage_von_MS_Access_Database4[Partnerland])</f>
        <v>#N/A</v>
      </c>
    </row>
    <row r="205" spans="1:5" x14ac:dyDescent="0.25">
      <c r="A205" t="str">
        <f>Texte!A39</f>
        <v>063</v>
      </c>
      <c r="B205" t="str">
        <f>VLOOKUP(Tabelle_Abfrage_von_MS_Access_Database4[[#This Row],[LAND]],Texte!$A$4:$C$261,Texte!$A$1+1,FALSE)</f>
        <v>Slowakei</v>
      </c>
      <c r="C205">
        <v>203</v>
      </c>
      <c r="D205" s="11"/>
      <c r="E205" s="11" t="e">
        <f>LOOKUP(D205,Land_Wert,Tabelle_Abfrage_von_MS_Access_Database4[Partnerland])</f>
        <v>#N/A</v>
      </c>
    </row>
    <row r="206" spans="1:5" x14ac:dyDescent="0.25">
      <c r="A206" t="str">
        <f>Texte!A56</f>
        <v>091</v>
      </c>
      <c r="B206" t="str">
        <f>VLOOKUP(Tabelle_Abfrage_von_MS_Access_Database4[[#This Row],[LAND]],Texte!$A$4:$C$261,Texte!$A$1+1,FALSE)</f>
        <v>Slowenien</v>
      </c>
      <c r="C206">
        <v>204</v>
      </c>
      <c r="D206" s="11"/>
      <c r="E206" s="11" t="e">
        <f>LOOKUP(D206,Land_Wert,Tabelle_Abfrage_von_MS_Access_Database4[Partnerland])</f>
        <v>#N/A</v>
      </c>
    </row>
    <row r="207" spans="1:5" x14ac:dyDescent="0.25">
      <c r="A207" t="str">
        <f>Texte!A103</f>
        <v>342</v>
      </c>
      <c r="B207" t="str">
        <f>VLOOKUP(Tabelle_Abfrage_von_MS_Access_Database4[[#This Row],[LAND]],Texte!$A$4:$C$261,Texte!$A$1+1,FALSE)</f>
        <v>Somalia</v>
      </c>
      <c r="C207">
        <v>205</v>
      </c>
      <c r="D207" s="11"/>
      <c r="E207" s="11" t="e">
        <f>LOOKUP(D207,Land_Wert,Tabelle_Abfrage_von_MS_Access_Database4[Partnerland])</f>
        <v>#N/A</v>
      </c>
    </row>
    <row r="208" spans="1:5" x14ac:dyDescent="0.25">
      <c r="A208" t="str">
        <f>Texte!A14</f>
        <v>011</v>
      </c>
      <c r="B208" t="str">
        <f>VLOOKUP(Tabelle_Abfrage_von_MS_Access_Database4[[#This Row],[LAND]],Texte!$A$4:$C$261,Texte!$A$1+1,FALSE)</f>
        <v>Spanien</v>
      </c>
      <c r="C208">
        <v>206</v>
      </c>
      <c r="D208" s="11"/>
      <c r="E208" s="12" t="e">
        <f>LOOKUP(D208,Land_Wert,Tabelle_Abfrage_von_MS_Access_Database4[Partnerland])</f>
        <v>#N/A</v>
      </c>
    </row>
    <row r="209" spans="1:5" x14ac:dyDescent="0.25">
      <c r="A209" t="str">
        <f>Texte!A198</f>
        <v>669</v>
      </c>
      <c r="B209" t="str">
        <f>VLOOKUP(Tabelle_Abfrage_von_MS_Access_Database4[[#This Row],[LAND]],Texte!$A$4:$C$261,Texte!$A$1+1,FALSE)</f>
        <v>Sri Lanka</v>
      </c>
      <c r="C209">
        <v>207</v>
      </c>
      <c r="D209" s="11"/>
      <c r="E209" s="11" t="e">
        <f>LOOKUP(D209,Land_Wert,Tabelle_Abfrage_von_MS_Access_Database4[Partnerland])</f>
        <v>#N/A</v>
      </c>
    </row>
    <row r="210" spans="1:5" x14ac:dyDescent="0.25">
      <c r="A210" t="str">
        <f>Texte!A151</f>
        <v>466</v>
      </c>
      <c r="B210" t="str">
        <f>VLOOKUP(Tabelle_Abfrage_von_MS_Access_Database4[[#This Row],[LAND]],Texte!$A$4:$C$261,Texte!$A$1+1,FALSE)</f>
        <v>St. Barthélemy</v>
      </c>
      <c r="C210">
        <v>208</v>
      </c>
      <c r="D210" s="11"/>
      <c r="E210" s="11" t="e">
        <f>LOOKUP(D210,Land_Wert,Tabelle_Abfrage_von_MS_Access_Database4[Partnerland])</f>
        <v>#N/A</v>
      </c>
    </row>
    <row r="211" spans="1:5" x14ac:dyDescent="0.25">
      <c r="A211" t="str">
        <f>Texte!A98</f>
        <v>329</v>
      </c>
      <c r="B211" t="str">
        <f>VLOOKUP(Tabelle_Abfrage_von_MS_Access_Database4[[#This Row],[LAND]],Texte!$A$4:$C$261,Texte!$A$1+1,FALSE)</f>
        <v>St. Helena</v>
      </c>
      <c r="C211">
        <v>209</v>
      </c>
      <c r="D211" s="11"/>
      <c r="E211" s="11" t="e">
        <f>LOOKUP(D211,Land_Wert,Tabelle_Abfrage_von_MS_Access_Database4[Partnerland])</f>
        <v>#N/A</v>
      </c>
    </row>
    <row r="212" spans="1:5" x14ac:dyDescent="0.25">
      <c r="A212" t="str">
        <f>Texte!A162</f>
        <v>479</v>
      </c>
      <c r="B212" t="str">
        <f>VLOOKUP(Tabelle_Abfrage_von_MS_Access_Database4[[#This Row],[LAND]],Texte!$A$4:$C$261,Texte!$A$1+1,FALSE)</f>
        <v>St. Martin (niederl.Teil)</v>
      </c>
      <c r="C212">
        <v>210</v>
      </c>
      <c r="D212" s="11"/>
      <c r="E212" s="11" t="e">
        <f>LOOKUP(D212,Land_Wert,Tabelle_Abfrage_von_MS_Access_Database4[Partnerland])</f>
        <v>#N/A</v>
      </c>
    </row>
    <row r="213" spans="1:5" x14ac:dyDescent="0.25">
      <c r="A213" t="str">
        <f>Texte!A138</f>
        <v>449</v>
      </c>
      <c r="B213" t="str">
        <f>VLOOKUP(Tabelle_Abfrage_von_MS_Access_Database4[[#This Row],[LAND]],Texte!$A$4:$C$261,Texte!$A$1+1,FALSE)</f>
        <v>St.Kitts und Nevis</v>
      </c>
      <c r="C213">
        <v>211</v>
      </c>
      <c r="D213" s="11"/>
      <c r="E213" s="11" t="e">
        <f>LOOKUP(D213,Land_Wert,Tabelle_Abfrage_von_MS_Access_Database4[Partnerland])</f>
        <v>#N/A</v>
      </c>
    </row>
    <row r="214" spans="1:5" x14ac:dyDescent="0.25">
      <c r="A214" t="str">
        <f>Texte!A150</f>
        <v>465</v>
      </c>
      <c r="B214" t="str">
        <f>VLOOKUP(Tabelle_Abfrage_von_MS_Access_Database4[[#This Row],[LAND]],Texte!$A$4:$C$261,Texte!$A$1+1,FALSE)</f>
        <v>St.Lucia</v>
      </c>
      <c r="C214">
        <v>212</v>
      </c>
      <c r="D214" s="11"/>
      <c r="E214" s="11" t="e">
        <f>LOOKUP(D214,Land_Wert,Tabelle_Abfrage_von_MS_Access_Database4[Partnerland])</f>
        <v>#N/A</v>
      </c>
    </row>
    <row r="215" spans="1:5" x14ac:dyDescent="0.25">
      <c r="A215" t="str">
        <f>Texte!A126</f>
        <v>408</v>
      </c>
      <c r="B215" t="str">
        <f>VLOOKUP(Tabelle_Abfrage_von_MS_Access_Database4[[#This Row],[LAND]],Texte!$A$4:$C$261,Texte!$A$1+1,FALSE)</f>
        <v>St.Pierre und Miquelon</v>
      </c>
      <c r="C215">
        <v>213</v>
      </c>
      <c r="D215" s="11"/>
      <c r="E215" s="11" t="e">
        <f>LOOKUP(D215,Land_Wert,Tabelle_Abfrage_von_MS_Access_Database4[Partnerland])</f>
        <v>#N/A</v>
      </c>
    </row>
    <row r="216" spans="1:5" x14ac:dyDescent="0.25">
      <c r="A216" t="str">
        <f>Texte!A152</f>
        <v>467</v>
      </c>
      <c r="B216" t="str">
        <f>VLOOKUP(Tabelle_Abfrage_von_MS_Access_Database4[[#This Row],[LAND]],Texte!$A$4:$C$261,Texte!$A$1+1,FALSE)</f>
        <v>St.Vincent</v>
      </c>
      <c r="C216">
        <v>214</v>
      </c>
      <c r="D216" s="11"/>
      <c r="E216" s="11" t="e">
        <f>LOOKUP(D216,Land_Wert,Tabelle_Abfrage_von_MS_Access_Database4[Partnerland])</f>
        <v>#N/A</v>
      </c>
    </row>
    <row r="217" spans="1:5" x14ac:dyDescent="0.25">
      <c r="A217" t="str">
        <f>Texte!A118</f>
        <v>388</v>
      </c>
      <c r="B217" t="str">
        <f>VLOOKUP(Tabelle_Abfrage_von_MS_Access_Database4[[#This Row],[LAND]],Texte!$A$4:$C$261,Texte!$A$1+1,FALSE)</f>
        <v>Südafrika</v>
      </c>
      <c r="C217">
        <v>215</v>
      </c>
      <c r="D217" s="11"/>
      <c r="E217" s="11" t="e">
        <f>LOOKUP(D217,Land_Wert,Tabelle_Abfrage_von_MS_Access_Database4[Partnerland])</f>
        <v>#N/A</v>
      </c>
    </row>
    <row r="218" spans="1:5" x14ac:dyDescent="0.25">
      <c r="A218" t="str">
        <f>Texte!A69</f>
        <v>224</v>
      </c>
      <c r="B218" t="str">
        <f>VLOOKUP(Tabelle_Abfrage_von_MS_Access_Database4[[#This Row],[LAND]],Texte!$A$4:$C$261,Texte!$A$1+1,FALSE)</f>
        <v>Sudan</v>
      </c>
      <c r="C218">
        <v>216</v>
      </c>
      <c r="D218" s="11"/>
      <c r="E218" s="11" t="e">
        <f>LOOKUP(D218,Land_Wert,Tabelle_Abfrage_von_MS_Access_Database4[Partnerland])</f>
        <v>#N/A</v>
      </c>
    </row>
    <row r="219" spans="1:5" x14ac:dyDescent="0.25">
      <c r="A219" t="str">
        <f>Texte!A254</f>
        <v>893</v>
      </c>
      <c r="B219" t="str">
        <f>VLOOKUP(Tabelle_Abfrage_von_MS_Access_Database4[[#This Row],[LAND]],Texte!$A$4:$C$261,Texte!$A$1+1,FALSE)</f>
        <v>Südgeorg./Südl.Sandwichi.</v>
      </c>
      <c r="C219">
        <v>217</v>
      </c>
      <c r="D219" s="11"/>
      <c r="E219" s="11" t="e">
        <f>LOOKUP(D219,Land_Wert,Tabelle_Abfrage_von_MS_Access_Database4[Partnerland])</f>
        <v>#N/A</v>
      </c>
    </row>
    <row r="220" spans="1:5" x14ac:dyDescent="0.25">
      <c r="A220" t="str">
        <f>Texte!A214</f>
        <v>728</v>
      </c>
      <c r="B220" t="str">
        <f>VLOOKUP(Tabelle_Abfrage_von_MS_Access_Database4[[#This Row],[LAND]],Texte!$A$4:$C$261,Texte!$A$1+1,FALSE)</f>
        <v>Südkorea</v>
      </c>
      <c r="C220">
        <v>218</v>
      </c>
      <c r="D220" s="11"/>
      <c r="E220" s="11" t="e">
        <f>LOOKUP(D220,Land_Wert,Tabelle_Abfrage_von_MS_Access_Database4[Partnerland])</f>
        <v>#N/A</v>
      </c>
    </row>
    <row r="221" spans="1:5" x14ac:dyDescent="0.25">
      <c r="A221" t="str">
        <f>Texte!A70</f>
        <v>225</v>
      </c>
      <c r="B221" t="str">
        <f>VLOOKUP(Tabelle_Abfrage_von_MS_Access_Database4[[#This Row],[LAND]],Texte!$A$4:$C$261,Texte!$A$1+1,FALSE)</f>
        <v>Südsudan</v>
      </c>
      <c r="C221">
        <v>219</v>
      </c>
      <c r="D221" s="11"/>
      <c r="E221" s="11" t="e">
        <f>LOOKUP(D221,Land_Wert,Tabelle_Abfrage_von_MS_Access_Database4[Partnerland])</f>
        <v>#N/A</v>
      </c>
    </row>
    <row r="222" spans="1:5" x14ac:dyDescent="0.25">
      <c r="A222" t="str">
        <f>Texte!A166</f>
        <v>492</v>
      </c>
      <c r="B222" t="str">
        <f>VLOOKUP(Tabelle_Abfrage_von_MS_Access_Database4[[#This Row],[LAND]],Texte!$A$4:$C$261,Texte!$A$1+1,FALSE)</f>
        <v>Suriname</v>
      </c>
      <c r="C222">
        <v>220</v>
      </c>
      <c r="D222" s="11"/>
      <c r="E222" s="11" t="e">
        <f>LOOKUP(D222,Land_Wert,Tabelle_Abfrage_von_MS_Access_Database4[Partnerland])</f>
        <v>#N/A</v>
      </c>
    </row>
    <row r="223" spans="1:5" x14ac:dyDescent="0.25">
      <c r="A223" t="str">
        <f>Texte!A21</f>
        <v>027</v>
      </c>
      <c r="B223" t="str">
        <f>VLOOKUP(Tabelle_Abfrage_von_MS_Access_Database4[[#This Row],[LAND]],Texte!$A$4:$C$261,Texte!$A$1+1,FALSE)</f>
        <v>Svalbard</v>
      </c>
      <c r="C223">
        <v>221</v>
      </c>
      <c r="D223" s="11"/>
      <c r="E223" s="11" t="e">
        <f>LOOKUP(D223,Land_Wert,Tabelle_Abfrage_von_MS_Access_Database4[Partnerland])</f>
        <v>#N/A</v>
      </c>
    </row>
    <row r="224" spans="1:5" x14ac:dyDescent="0.25">
      <c r="A224" t="str">
        <f>Texte!A121</f>
        <v>393</v>
      </c>
      <c r="B224" t="str">
        <f>VLOOKUP(Tabelle_Abfrage_von_MS_Access_Database4[[#This Row],[LAND]],Texte!$A$4:$C$261,Texte!$A$1+1,FALSE)</f>
        <v>Swasiland</v>
      </c>
      <c r="C224">
        <v>222</v>
      </c>
      <c r="D224" s="11"/>
      <c r="E224" s="11" t="e">
        <f>LOOKUP(D224,Land_Wert,Tabelle_Abfrage_von_MS_Access_Database4[Partnerland])</f>
        <v>#N/A</v>
      </c>
    </row>
    <row r="225" spans="1:5" x14ac:dyDescent="0.25">
      <c r="A225" t="str">
        <f>Texte!A179</f>
        <v>608</v>
      </c>
      <c r="B225" t="str">
        <f>VLOOKUP(Tabelle_Abfrage_von_MS_Access_Database4[[#This Row],[LAND]],Texte!$A$4:$C$261,Texte!$A$1+1,FALSE)</f>
        <v>Syrien</v>
      </c>
      <c r="C225">
        <v>223</v>
      </c>
      <c r="D225" s="11"/>
      <c r="E225" s="11" t="e">
        <f>LOOKUP(D225,Land_Wert,Tabelle_Abfrage_von_MS_Access_Database4[Partnerland])</f>
        <v>#N/A</v>
      </c>
    </row>
    <row r="226" spans="1:5" x14ac:dyDescent="0.25">
      <c r="A226" t="str">
        <f>Texte!A54</f>
        <v>082</v>
      </c>
      <c r="B226" t="str">
        <f>VLOOKUP(Tabelle_Abfrage_von_MS_Access_Database4[[#This Row],[LAND]],Texte!$A$4:$C$261,Texte!$A$1+1,FALSE)</f>
        <v>Tadschikistan</v>
      </c>
      <c r="C226">
        <v>224</v>
      </c>
      <c r="D226" s="11"/>
      <c r="E226" s="11" t="e">
        <f>LOOKUP(D226,Land_Wert,Tabelle_Abfrage_von_MS_Access_Database4[Partnerland])</f>
        <v>#N/A</v>
      </c>
    </row>
    <row r="227" spans="1:5" x14ac:dyDescent="0.25">
      <c r="A227" t="str">
        <f>Texte!A216</f>
        <v>736</v>
      </c>
      <c r="B227" t="str">
        <f>VLOOKUP(Tabelle_Abfrage_von_MS_Access_Database4[[#This Row],[LAND]],Texte!$A$4:$C$261,Texte!$A$1+1,FALSE)</f>
        <v>Taiwan</v>
      </c>
      <c r="C227">
        <v>225</v>
      </c>
      <c r="D227" s="11"/>
      <c r="E227" s="11" t="e">
        <f>LOOKUP(D227,Land_Wert,Tabelle_Abfrage_von_MS_Access_Database4[Partnerland])</f>
        <v>#N/A</v>
      </c>
    </row>
    <row r="228" spans="1:5" x14ac:dyDescent="0.25">
      <c r="A228" t="str">
        <f>Texte!A106</f>
        <v>352</v>
      </c>
      <c r="B228" t="str">
        <f>VLOOKUP(Tabelle_Abfrage_von_MS_Access_Database4[[#This Row],[LAND]],Texte!$A$4:$C$261,Texte!$A$1+1,FALSE)</f>
        <v>Tansania</v>
      </c>
      <c r="C228">
        <v>226</v>
      </c>
      <c r="D228" s="11"/>
      <c r="E228" s="11" t="e">
        <f>LOOKUP(D228,Land_Wert,Tabelle_Abfrage_von_MS_Access_Database4[Partnerland])</f>
        <v>#N/A</v>
      </c>
    </row>
    <row r="229" spans="1:5" x14ac:dyDescent="0.25">
      <c r="A229" t="str">
        <f>Texte!A202</f>
        <v>680</v>
      </c>
      <c r="B229" t="str">
        <f>VLOOKUP(Tabelle_Abfrage_von_MS_Access_Database4[[#This Row],[LAND]],Texte!$A$4:$C$261,Texte!$A$1+1,FALSE)</f>
        <v>Thailand</v>
      </c>
      <c r="C229">
        <v>227</v>
      </c>
      <c r="D229" s="11"/>
      <c r="E229" s="11" t="e">
        <f>LOOKUP(D229,Land_Wert,Tabelle_Abfrage_von_MS_Access_Database4[Partnerland])</f>
        <v>#N/A</v>
      </c>
    </row>
    <row r="230" spans="1:5" x14ac:dyDescent="0.25">
      <c r="A230" t="str">
        <f>Texte!A184</f>
        <v>626</v>
      </c>
      <c r="B230" t="str">
        <f>VLOOKUP(Tabelle_Abfrage_von_MS_Access_Database4[[#This Row],[LAND]],Texte!$A$4:$C$261,Texte!$A$1+1,FALSE)</f>
        <v>Timor-Leste</v>
      </c>
      <c r="C230">
        <v>228</v>
      </c>
      <c r="D230" s="11"/>
      <c r="E230" s="11" t="e">
        <f>LOOKUP(D230,Land_Wert,Tabelle_Abfrage_von_MS_Access_Database4[Partnerland])</f>
        <v>#N/A</v>
      </c>
    </row>
    <row r="231" spans="1:5" x14ac:dyDescent="0.25">
      <c r="A231" t="str">
        <f>Texte!A86</f>
        <v>280</v>
      </c>
      <c r="B231" t="str">
        <f>VLOOKUP(Tabelle_Abfrage_von_MS_Access_Database4[[#This Row],[LAND]],Texte!$A$4:$C$261,Texte!$A$1+1,FALSE)</f>
        <v>Togo</v>
      </c>
      <c r="C231">
        <v>229</v>
      </c>
      <c r="D231" s="11"/>
      <c r="E231" s="11" t="e">
        <f>LOOKUP(D231,Land_Wert,Tabelle_Abfrage_von_MS_Access_Database4[Partnerland])</f>
        <v>#N/A</v>
      </c>
    </row>
    <row r="232" spans="1:5" x14ac:dyDescent="0.25">
      <c r="A232" t="str">
        <f>Texte!A250</f>
        <v>839</v>
      </c>
      <c r="B232" t="str">
        <f>VLOOKUP(Tabelle_Abfrage_von_MS_Access_Database4[[#This Row],[LAND]],Texte!$A$4:$C$261,Texte!$A$1+1,FALSE)</f>
        <v>Tokelauinseln</v>
      </c>
      <c r="C232">
        <v>230</v>
      </c>
      <c r="D232" s="11"/>
      <c r="E232" s="11" t="e">
        <f>LOOKUP(D232,Land_Wert,Tabelle_Abfrage_von_MS_Access_Database4[Partnerland])</f>
        <v>#N/A</v>
      </c>
    </row>
    <row r="233" spans="1:5" x14ac:dyDescent="0.25">
      <c r="A233" t="str">
        <f>Texte!A234</f>
        <v>817</v>
      </c>
      <c r="B233" t="str">
        <f>VLOOKUP(Tabelle_Abfrage_von_MS_Access_Database4[[#This Row],[LAND]],Texte!$A$4:$C$261,Texte!$A$1+1,FALSE)</f>
        <v>Tonga</v>
      </c>
      <c r="C233">
        <v>231</v>
      </c>
      <c r="D233" s="11"/>
      <c r="E233" s="11" t="e">
        <f>LOOKUP(D233,Land_Wert,Tabelle_Abfrage_von_MS_Access_Database4[Partnerland])</f>
        <v>#N/A</v>
      </c>
    </row>
    <row r="234" spans="1:5" x14ac:dyDescent="0.25">
      <c r="A234" t="str">
        <f>Texte!A156</f>
        <v>472</v>
      </c>
      <c r="B234" t="str">
        <f>VLOOKUP(Tabelle_Abfrage_von_MS_Access_Database4[[#This Row],[LAND]],Texte!$A$4:$C$261,Texte!$A$1+1,FALSE)</f>
        <v>Trinidad und Tobago</v>
      </c>
      <c r="C234">
        <v>232</v>
      </c>
      <c r="D234" s="11"/>
      <c r="E234" s="11" t="e">
        <f>LOOKUP(D234,Land_Wert,Tabelle_Abfrage_von_MS_Access_Database4[Partnerland])</f>
        <v>#N/A</v>
      </c>
    </row>
    <row r="235" spans="1:5" x14ac:dyDescent="0.25">
      <c r="A235" t="str">
        <f>Texte!A76</f>
        <v>244</v>
      </c>
      <c r="B235" t="str">
        <f>VLOOKUP(Tabelle_Abfrage_von_MS_Access_Database4[[#This Row],[LAND]],Texte!$A$4:$C$261,Texte!$A$1+1,FALSE)</f>
        <v>Tschad</v>
      </c>
      <c r="C235">
        <v>233</v>
      </c>
      <c r="D235" s="11"/>
      <c r="E235" s="11" t="e">
        <f>LOOKUP(D235,Land_Wert,Tabelle_Abfrage_von_MS_Access_Database4[Partnerland])</f>
        <v>#N/A</v>
      </c>
    </row>
    <row r="236" spans="1:5" x14ac:dyDescent="0.25">
      <c r="A236" t="str">
        <f>Texte!A38</f>
        <v>061</v>
      </c>
      <c r="B236" t="str">
        <f>VLOOKUP(Tabelle_Abfrage_von_MS_Access_Database4[[#This Row],[LAND]],Texte!$A$4:$C$261,Texte!$A$1+1,FALSE)</f>
        <v>Tschechische Republik</v>
      </c>
      <c r="C236">
        <v>234</v>
      </c>
      <c r="D236" s="11"/>
      <c r="E236" s="11" t="e">
        <f>LOOKUP(D236,Land_Wert,Tabelle_Abfrage_von_MS_Access_Database4[Partnerland])</f>
        <v>#N/A</v>
      </c>
    </row>
    <row r="237" spans="1:5" x14ac:dyDescent="0.25">
      <c r="A237" t="str">
        <f>Texte!A66</f>
        <v>212</v>
      </c>
      <c r="B237" t="str">
        <f>VLOOKUP(Tabelle_Abfrage_von_MS_Access_Database4[[#This Row],[LAND]],Texte!$A$4:$C$261,Texte!$A$1+1,FALSE)</f>
        <v>Tunesien</v>
      </c>
      <c r="C237">
        <v>235</v>
      </c>
      <c r="D237" s="11"/>
      <c r="E237" s="11" t="e">
        <f>LOOKUP(D237,Land_Wert,Tabelle_Abfrage_von_MS_Access_Database4[Partnerland])</f>
        <v>#N/A</v>
      </c>
    </row>
    <row r="238" spans="1:5" x14ac:dyDescent="0.25">
      <c r="A238" t="str">
        <f>Texte!A33</f>
        <v>052</v>
      </c>
      <c r="B238" t="str">
        <f>VLOOKUP(Tabelle_Abfrage_von_MS_Access_Database4[[#This Row],[LAND]],Texte!$A$4:$C$261,Texte!$A$1+1,FALSE)</f>
        <v>Türkei</v>
      </c>
      <c r="C238">
        <v>236</v>
      </c>
      <c r="D238" s="11"/>
      <c r="E238" s="11" t="e">
        <f>LOOKUP(D238,Land_Wert,Tabelle_Abfrage_von_MS_Access_Database4[Partnerland])</f>
        <v>#N/A</v>
      </c>
    </row>
    <row r="239" spans="1:5" x14ac:dyDescent="0.25">
      <c r="A239" t="str">
        <f>Texte!A52</f>
        <v>080</v>
      </c>
      <c r="B239" t="str">
        <f>VLOOKUP(Tabelle_Abfrage_von_MS_Access_Database4[[#This Row],[LAND]],Texte!$A$4:$C$261,Texte!$A$1+1,FALSE)</f>
        <v>Turkmenistan</v>
      </c>
      <c r="C239">
        <v>237</v>
      </c>
      <c r="D239" s="11"/>
      <c r="E239" s="11" t="e">
        <f>LOOKUP(D239,Land_Wert,Tabelle_Abfrage_von_MS_Access_Database4[Partnerland])</f>
        <v>#N/A</v>
      </c>
    </row>
    <row r="240" spans="1:5" x14ac:dyDescent="0.25">
      <c r="A240" t="str">
        <f>Texte!A141</f>
        <v>454</v>
      </c>
      <c r="B240" t="str">
        <f>VLOOKUP(Tabelle_Abfrage_von_MS_Access_Database4[[#This Row],[LAND]],Texte!$A$4:$C$261,Texte!$A$1+1,FALSE)</f>
        <v>Turks-und Caicosinseln</v>
      </c>
      <c r="C240">
        <v>238</v>
      </c>
      <c r="D240" s="11"/>
      <c r="E240" s="11" t="e">
        <f>LOOKUP(D240,Land_Wert,Tabelle_Abfrage_von_MS_Access_Database4[Partnerland])</f>
        <v>#N/A</v>
      </c>
    </row>
    <row r="241" spans="1:5" x14ac:dyDescent="0.25">
      <c r="A241" t="str">
        <f>Texte!A225</f>
        <v>807</v>
      </c>
      <c r="B241" t="str">
        <f>VLOOKUP(Tabelle_Abfrage_von_MS_Access_Database4[[#This Row],[LAND]],Texte!$A$4:$C$261,Texte!$A$1+1,FALSE)</f>
        <v>Tuvalu</v>
      </c>
      <c r="C241">
        <v>239</v>
      </c>
      <c r="D241" s="11"/>
      <c r="E241" s="11" t="e">
        <f>LOOKUP(D241,Land_Wert,Tabelle_Abfrage_von_MS_Access_Database4[Partnerland])</f>
        <v>#N/A</v>
      </c>
    </row>
    <row r="242" spans="1:5" x14ac:dyDescent="0.25">
      <c r="A242" t="str">
        <f>Texte!A105</f>
        <v>350</v>
      </c>
      <c r="B242" t="str">
        <f>VLOOKUP(Tabelle_Abfrage_von_MS_Access_Database4[[#This Row],[LAND]],Texte!$A$4:$C$261,Texte!$A$1+1,FALSE)</f>
        <v>Uganda</v>
      </c>
      <c r="C242">
        <v>240</v>
      </c>
      <c r="D242" s="11"/>
      <c r="E242" s="11" t="e">
        <f>LOOKUP(D242,Land_Wert,Tabelle_Abfrage_von_MS_Access_Database4[Partnerland])</f>
        <v>#N/A</v>
      </c>
    </row>
    <row r="243" spans="1:5" x14ac:dyDescent="0.25">
      <c r="A243" t="str">
        <f>Texte!A44</f>
        <v>072</v>
      </c>
      <c r="B243" t="str">
        <f>VLOOKUP(Tabelle_Abfrage_von_MS_Access_Database4[[#This Row],[LAND]],Texte!$A$4:$C$261,Texte!$A$1+1,FALSE)</f>
        <v>Ukraine</v>
      </c>
      <c r="C243">
        <v>241</v>
      </c>
      <c r="D243" s="11"/>
      <c r="E243" s="11" t="e">
        <f>LOOKUP(D243,Land_Wert,Tabelle_Abfrage_von_MS_Access_Database4[Partnerland])</f>
        <v>#N/A</v>
      </c>
    </row>
    <row r="244" spans="1:5" x14ac:dyDescent="0.25">
      <c r="A244" t="str">
        <f>Texte!A40</f>
        <v>064</v>
      </c>
      <c r="B244" t="str">
        <f>VLOOKUP(Tabelle_Abfrage_von_MS_Access_Database4[[#This Row],[LAND]],Texte!$A$4:$C$261,Texte!$A$1+1,FALSE)</f>
        <v>Ungarn</v>
      </c>
      <c r="C244">
        <v>242</v>
      </c>
      <c r="D244" s="11"/>
      <c r="E244" s="11" t="e">
        <f>LOOKUP(D244,Land_Wert,Tabelle_Abfrage_von_MS_Access_Database4[Partnerland])</f>
        <v>#N/A</v>
      </c>
    </row>
    <row r="245" spans="1:5" x14ac:dyDescent="0.25">
      <c r="A245" t="str">
        <f>Texte!A174</f>
        <v>524</v>
      </c>
      <c r="B245" t="str">
        <f>VLOOKUP(Tabelle_Abfrage_von_MS_Access_Database4[[#This Row],[LAND]],Texte!$A$4:$C$261,Texte!$A$1+1,FALSE)</f>
        <v>Uruguay</v>
      </c>
      <c r="C245">
        <v>243</v>
      </c>
      <c r="D245" s="11"/>
      <c r="E245" s="11" t="e">
        <f>LOOKUP(D245,Land_Wert,Tabelle_Abfrage_von_MS_Access_Database4[Partnerland])</f>
        <v>#N/A</v>
      </c>
    </row>
    <row r="246" spans="1:5" x14ac:dyDescent="0.25">
      <c r="A246" t="str">
        <f>Texte!A53</f>
        <v>081</v>
      </c>
      <c r="B246" t="str">
        <f>VLOOKUP(Tabelle_Abfrage_von_MS_Access_Database4[[#This Row],[LAND]],Texte!$A$4:$C$261,Texte!$A$1+1,FALSE)</f>
        <v>Usbekistan</v>
      </c>
      <c r="C246">
        <v>244</v>
      </c>
      <c r="D246" s="11"/>
      <c r="E246" s="11" t="e">
        <f>LOOKUP(D246,Land_Wert,Tabelle_Abfrage_von_MS_Access_Database4[Partnerland])</f>
        <v>#N/A</v>
      </c>
    </row>
    <row r="247" spans="1:5" x14ac:dyDescent="0.25">
      <c r="A247" t="str">
        <f>Texte!A233</f>
        <v>816</v>
      </c>
      <c r="B247" t="str">
        <f>VLOOKUP(Tabelle_Abfrage_von_MS_Access_Database4[[#This Row],[LAND]],Texte!$A$4:$C$261,Texte!$A$1+1,FALSE)</f>
        <v>Vanuatu</v>
      </c>
      <c r="C247">
        <v>245</v>
      </c>
      <c r="D247" s="11"/>
      <c r="E247" s="11" t="e">
        <f>LOOKUP(D247,Land_Wert,Tabelle_Abfrage_von_MS_Access_Database4[Partnerland])</f>
        <v>#N/A</v>
      </c>
    </row>
    <row r="248" spans="1:5" x14ac:dyDescent="0.25">
      <c r="A248" t="str">
        <f>Texte!A30</f>
        <v>045</v>
      </c>
      <c r="B248" t="str">
        <f>VLOOKUP(Tabelle_Abfrage_von_MS_Access_Database4[[#This Row],[LAND]],Texte!$A$4:$C$261,Texte!$A$1+1,FALSE)</f>
        <v>Vatikanstadt</v>
      </c>
      <c r="C248">
        <v>246</v>
      </c>
      <c r="D248" s="11"/>
      <c r="E248" s="11" t="e">
        <f>LOOKUP(D248,Land_Wert,Tabelle_Abfrage_von_MS_Access_Database4[Partnerland])</f>
        <v>#N/A</v>
      </c>
    </row>
    <row r="249" spans="1:5" x14ac:dyDescent="0.25">
      <c r="A249" t="str">
        <f>Texte!A164</f>
        <v>484</v>
      </c>
      <c r="B249" t="str">
        <f>VLOOKUP(Tabelle_Abfrage_von_MS_Access_Database4[[#This Row],[LAND]],Texte!$A$4:$C$261,Texte!$A$1+1,FALSE)</f>
        <v>Venezuela</v>
      </c>
      <c r="C249">
        <v>247</v>
      </c>
      <c r="D249" s="11"/>
      <c r="E249" s="11" t="e">
        <f>LOOKUP(D249,Land_Wert,Tabelle_Abfrage_von_MS_Access_Database4[Partnerland])</f>
        <v>#N/A</v>
      </c>
    </row>
    <row r="250" spans="1:5" x14ac:dyDescent="0.25">
      <c r="A250" t="str">
        <f>Texte!A190</f>
        <v>647</v>
      </c>
      <c r="B250" t="str">
        <f>VLOOKUP(Tabelle_Abfrage_von_MS_Access_Database4[[#This Row],[LAND]],Texte!$A$4:$C$261,Texte!$A$1+1,FALSE)</f>
        <v>Vereinigte Arab.Emirate</v>
      </c>
      <c r="C250">
        <v>248</v>
      </c>
      <c r="D250" s="11"/>
      <c r="E250" s="11" t="e">
        <f>LOOKUP(D250,Land_Wert,Tabelle_Abfrage_von_MS_Access_Database4[Partnerland])</f>
        <v>#N/A</v>
      </c>
    </row>
    <row r="251" spans="1:5" x14ac:dyDescent="0.25">
      <c r="A251" t="str">
        <f>Texte!A123</f>
        <v>400</v>
      </c>
      <c r="B251" t="str">
        <f>VLOOKUP(Tabelle_Abfrage_von_MS_Access_Database4[[#This Row],[LAND]],Texte!$A$4:$C$261,Texte!$A$1+1,FALSE)</f>
        <v>Vereinigte Staaten</v>
      </c>
      <c r="C251">
        <v>249</v>
      </c>
      <c r="D251" s="11"/>
      <c r="E251" s="11" t="e">
        <f>LOOKUP(D251,Land_Wert,Tabelle_Abfrage_von_MS_Access_Database4[Partnerland])</f>
        <v>#N/A</v>
      </c>
    </row>
    <row r="252" spans="1:5" x14ac:dyDescent="0.25">
      <c r="A252" t="str">
        <f>Texte!A9</f>
        <v>006</v>
      </c>
      <c r="B252" t="str">
        <f>VLOOKUP(Tabelle_Abfrage_von_MS_Access_Database4[[#This Row],[LAND]],Texte!$A$4:$C$261,Texte!$A$1+1,FALSE)</f>
        <v>Vereinigtes Königreich</v>
      </c>
      <c r="C252">
        <v>250</v>
      </c>
      <c r="D252" s="11"/>
      <c r="E252" s="12" t="e">
        <f>LOOKUP(D252,Land_Wert,Tabelle_Abfrage_von_MS_Access_Database4[Partnerland])</f>
        <v>#N/A</v>
      </c>
    </row>
    <row r="253" spans="1:5" x14ac:dyDescent="0.25">
      <c r="A253" t="str">
        <f>Texte!A204</f>
        <v>690</v>
      </c>
      <c r="B253" t="str">
        <f>VLOOKUP(Tabelle_Abfrage_von_MS_Access_Database4[[#This Row],[LAND]],Texte!$A$4:$C$261,Texte!$A$1+1,FALSE)</f>
        <v>Vietnam</v>
      </c>
      <c r="C253">
        <v>251</v>
      </c>
      <c r="D253" s="11"/>
      <c r="E253" s="11" t="e">
        <f>LOOKUP(D253,Land_Wert,Tabelle_Abfrage_von_MS_Access_Database4[Partnerland])</f>
        <v>#N/A</v>
      </c>
    </row>
    <row r="254" spans="1:5" x14ac:dyDescent="0.25">
      <c r="A254" t="str">
        <f>Texte!A228</f>
        <v>811</v>
      </c>
      <c r="B254" t="str">
        <f>VLOOKUP(Tabelle_Abfrage_von_MS_Access_Database4[[#This Row],[LAND]],Texte!$A$4:$C$261,Texte!$A$1+1,FALSE)</f>
        <v>Wallis und Futuna</v>
      </c>
      <c r="C254">
        <v>252</v>
      </c>
      <c r="D254" s="11"/>
      <c r="E254" s="11" t="e">
        <f>LOOKUP(D254,Land_Wert,Tabelle_Abfrage_von_MS_Access_Database4[Partnerland])</f>
        <v>#N/A</v>
      </c>
    </row>
    <row r="255" spans="1:5" x14ac:dyDescent="0.25">
      <c r="A255" t="str">
        <f>Texte!A245</f>
        <v>834</v>
      </c>
      <c r="B255" t="str">
        <f>VLOOKUP(Tabelle_Abfrage_von_MS_Access_Database4[[#This Row],[LAND]],Texte!$A$4:$C$261,Texte!$A$1+1,FALSE)</f>
        <v>Weihnachtsinseln</v>
      </c>
      <c r="C255">
        <v>253</v>
      </c>
      <c r="D255" s="11"/>
      <c r="E255" s="11" t="e">
        <f>LOOKUP(D255,Land_Wert,Tabelle_Abfrage_von_MS_Access_Database4[Partnerland])</f>
        <v>#N/A</v>
      </c>
    </row>
    <row r="256" spans="1:5" x14ac:dyDescent="0.25">
      <c r="A256" t="str">
        <f>Texte!A45</f>
        <v>073</v>
      </c>
      <c r="B256" t="str">
        <f>VLOOKUP(Tabelle_Abfrage_von_MS_Access_Database4[[#This Row],[LAND]],Texte!$A$4:$C$261,Texte!$A$1+1,FALSE)</f>
        <v>Weißrussland</v>
      </c>
      <c r="C256">
        <v>254</v>
      </c>
      <c r="D256" s="11"/>
      <c r="E256" s="11" t="e">
        <f>LOOKUP(D256,Land_Wert,Tabelle_Abfrage_von_MS_Access_Database4[Partnerland])</f>
        <v>#N/A</v>
      </c>
    </row>
    <row r="257" spans="1:5" x14ac:dyDescent="0.25">
      <c r="A257" t="str">
        <f>Texte!A72</f>
        <v>229</v>
      </c>
      <c r="B257" t="str">
        <f>VLOOKUP(Tabelle_Abfrage_von_MS_Access_Database4[[#This Row],[LAND]],Texte!$A$4:$C$261,Texte!$A$1+1,FALSE)</f>
        <v>Westsahara</v>
      </c>
      <c r="C257">
        <v>255</v>
      </c>
      <c r="D257" s="11"/>
      <c r="E257" s="11" t="e">
        <f>LOOKUP(D257,Land_Wert,Tabelle_Abfrage_von_MS_Access_Database4[Partnerland])</f>
        <v>#N/A</v>
      </c>
    </row>
    <row r="258" spans="1:5" x14ac:dyDescent="0.25">
      <c r="A258" t="str">
        <f>Texte!A90</f>
        <v>306</v>
      </c>
      <c r="B258" t="str">
        <f>VLOOKUP(Tabelle_Abfrage_von_MS_Access_Database4[[#This Row],[LAND]],Texte!$A$4:$C$261,Texte!$A$1+1,FALSE)</f>
        <v>Zentralafrikan.Republik</v>
      </c>
      <c r="C258">
        <v>256</v>
      </c>
      <c r="D258" s="11"/>
      <c r="E258" s="11" t="e">
        <f>LOOKUP(D258,Land_Wert,Tabelle_Abfrage_von_MS_Access_Database4[Partnerland])</f>
        <v>#N/A</v>
      </c>
    </row>
    <row r="259" spans="1:5" x14ac:dyDescent="0.25">
      <c r="A259" t="str">
        <f>Texte!A177</f>
        <v>600</v>
      </c>
      <c r="B259" t="str">
        <f>VLOOKUP(Tabelle_Abfrage_von_MS_Access_Database4[[#This Row],[LAND]],Texte!$A$4:$C$261,Texte!$A$1+1,FALSE)</f>
        <v>Zypern</v>
      </c>
      <c r="C259">
        <v>257</v>
      </c>
      <c r="D259" s="11"/>
      <c r="E259" s="11" t="e">
        <f>LOOKUP(D259,Land_Wert,Tabelle_Abfrage_von_MS_Access_Database4[Partnerland])</f>
        <v>#N/A</v>
      </c>
    </row>
  </sheetData>
  <sheetProtection selectLockedCells="1" selectUnlockedCells="1"/>
  <mergeCells count="3">
    <mergeCell ref="D1:F1"/>
    <mergeCell ref="H1:K1"/>
    <mergeCell ref="A1:B1"/>
  </mergeCells>
  <phoneticPr fontId="2" type="noConversion"/>
  <pageMargins left="0.7" right="0.7" top="0.78740157499999996" bottom="0.78740157499999996"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S266"/>
  <sheetViews>
    <sheetView topLeftCell="A116" workbookViewId="0">
      <selection activeCell="B134" sqref="B134"/>
    </sheetView>
  </sheetViews>
  <sheetFormatPr baseColWidth="10" defaultColWidth="11.453125" defaultRowHeight="13.5" x14ac:dyDescent="0.35"/>
  <cols>
    <col min="1" max="16384" width="11.453125" style="6"/>
  </cols>
  <sheetData>
    <row r="1" spans="1:19" x14ac:dyDescent="0.35">
      <c r="A1" s="6">
        <v>1</v>
      </c>
      <c r="B1" s="6" t="str">
        <f>IF(A1=2,"Englisch","Deutsch")</f>
        <v>Deutsch</v>
      </c>
      <c r="F1" s="6" t="s">
        <v>748</v>
      </c>
    </row>
    <row r="2" spans="1:19" x14ac:dyDescent="0.35">
      <c r="F2" s="6" t="str">
        <f>IF($A$1=2,"Austrian foreign trade with","Österreichs Außenhandel mit")</f>
        <v>Österreichs Außenhandel mit</v>
      </c>
    </row>
    <row r="3" spans="1:19" ht="14.5" x14ac:dyDescent="0.35">
      <c r="A3" s="32" t="s">
        <v>1</v>
      </c>
      <c r="B3" s="32" t="s">
        <v>583</v>
      </c>
      <c r="C3" s="32" t="s">
        <v>584</v>
      </c>
      <c r="D3" s="40"/>
      <c r="E3" s="40"/>
    </row>
    <row r="4" spans="1:19" ht="14.5" x14ac:dyDescent="0.35">
      <c r="A4" s="33" t="s">
        <v>3</v>
      </c>
      <c r="B4" s="33" t="s">
        <v>4</v>
      </c>
      <c r="C4" s="33" t="s">
        <v>585</v>
      </c>
      <c r="D4" s="41"/>
      <c r="E4" s="41"/>
      <c r="F4" s="6" t="s">
        <v>749</v>
      </c>
    </row>
    <row r="5" spans="1:19" ht="14.5" x14ac:dyDescent="0.35">
      <c r="A5" s="33" t="s">
        <v>5</v>
      </c>
      <c r="B5" s="33" t="s">
        <v>6</v>
      </c>
      <c r="C5" s="33" t="s">
        <v>586</v>
      </c>
      <c r="D5" s="41"/>
      <c r="E5" s="41"/>
      <c r="F5" s="6" t="str">
        <f>IF($A$1=2,"for the year","für das Jahr")</f>
        <v>für das Jahr</v>
      </c>
    </row>
    <row r="6" spans="1:19" ht="14.5" x14ac:dyDescent="0.35">
      <c r="A6" s="33" t="s">
        <v>7</v>
      </c>
      <c r="B6" s="33" t="s">
        <v>8</v>
      </c>
      <c r="C6" s="33" t="s">
        <v>587</v>
      </c>
      <c r="D6" s="41"/>
      <c r="E6" s="41"/>
    </row>
    <row r="7" spans="1:19" ht="14.5" x14ac:dyDescent="0.35">
      <c r="A7" s="33" t="s">
        <v>9</v>
      </c>
      <c r="B7" s="33" t="s">
        <v>10</v>
      </c>
      <c r="C7" s="33" t="s">
        <v>588</v>
      </c>
      <c r="D7" s="41"/>
      <c r="E7" s="41"/>
      <c r="F7" s="6" t="s">
        <v>750</v>
      </c>
    </row>
    <row r="8" spans="1:19" ht="14.5" x14ac:dyDescent="0.35">
      <c r="A8" s="33" t="s">
        <v>11</v>
      </c>
      <c r="B8" s="33" t="s">
        <v>12</v>
      </c>
      <c r="C8" s="33" t="s">
        <v>589</v>
      </c>
      <c r="D8" s="41"/>
      <c r="E8" s="41"/>
      <c r="F8" s="6" t="str">
        <f>IF($A$1=2,"Unit:","Einheit:")</f>
        <v>Einheit:</v>
      </c>
    </row>
    <row r="9" spans="1:19" ht="14.5" x14ac:dyDescent="0.35">
      <c r="A9" s="33" t="s">
        <v>13</v>
      </c>
      <c r="B9" s="33" t="s">
        <v>14</v>
      </c>
      <c r="C9" s="33" t="s">
        <v>590</v>
      </c>
      <c r="D9" s="41"/>
      <c r="E9" s="41"/>
    </row>
    <row r="10" spans="1:19" ht="14.5" x14ac:dyDescent="0.35">
      <c r="A10" s="33" t="s">
        <v>15</v>
      </c>
      <c r="B10" s="33" t="s">
        <v>16</v>
      </c>
      <c r="C10" s="33" t="s">
        <v>591</v>
      </c>
      <c r="D10" s="41"/>
      <c r="E10" s="41"/>
      <c r="F10" s="39" t="s">
        <v>760</v>
      </c>
      <c r="G10" s="39"/>
      <c r="H10" s="39"/>
      <c r="I10" s="39"/>
      <c r="J10" s="39"/>
      <c r="K10" s="39"/>
      <c r="L10" s="39"/>
      <c r="M10" s="39"/>
      <c r="N10" s="39"/>
      <c r="O10" s="39"/>
      <c r="P10" s="39"/>
      <c r="Q10" s="39"/>
      <c r="R10" s="39"/>
      <c r="S10" s="37"/>
    </row>
    <row r="11" spans="1:19" ht="14.5" x14ac:dyDescent="0.35">
      <c r="A11" s="33" t="s">
        <v>17</v>
      </c>
      <c r="B11" s="33" t="s">
        <v>18</v>
      </c>
      <c r="C11" s="33" t="s">
        <v>592</v>
      </c>
      <c r="D11" s="41"/>
      <c r="E11" s="41"/>
      <c r="F11" s="37" t="s">
        <v>757</v>
      </c>
      <c r="G11" s="37"/>
      <c r="H11" s="37" t="s">
        <v>758</v>
      </c>
      <c r="I11" s="37"/>
      <c r="J11" s="38" t="s">
        <v>771</v>
      </c>
      <c r="K11" s="37"/>
      <c r="L11" s="37"/>
      <c r="M11" s="37"/>
      <c r="N11" s="37"/>
    </row>
    <row r="12" spans="1:19" ht="14.5" x14ac:dyDescent="0.35">
      <c r="A12" s="33" t="s">
        <v>19</v>
      </c>
      <c r="B12" s="33" t="s">
        <v>20</v>
      </c>
      <c r="C12" s="33" t="s">
        <v>593</v>
      </c>
      <c r="D12" s="41"/>
      <c r="E12" s="41"/>
      <c r="F12" s="37" t="s">
        <v>759</v>
      </c>
      <c r="G12" s="37"/>
      <c r="H12" s="37" t="s">
        <v>758</v>
      </c>
      <c r="I12" s="37"/>
      <c r="J12" s="38" t="s">
        <v>771</v>
      </c>
      <c r="K12" s="37"/>
      <c r="L12" s="37"/>
      <c r="M12" s="37"/>
      <c r="N12" s="37"/>
    </row>
    <row r="13" spans="1:19" ht="14.5" x14ac:dyDescent="0.35">
      <c r="A13" s="33" t="s">
        <v>21</v>
      </c>
      <c r="B13" s="33" t="s">
        <v>22</v>
      </c>
      <c r="C13" s="33" t="s">
        <v>22</v>
      </c>
      <c r="D13" s="41"/>
      <c r="E13" s="41"/>
    </row>
    <row r="14" spans="1:19" ht="14.5" x14ac:dyDescent="0.35">
      <c r="A14" s="33" t="s">
        <v>23</v>
      </c>
      <c r="B14" s="33" t="s">
        <v>24</v>
      </c>
      <c r="C14" s="33" t="s">
        <v>594</v>
      </c>
      <c r="D14" s="41"/>
      <c r="E14" s="41"/>
    </row>
    <row r="15" spans="1:19" ht="14.5" x14ac:dyDescent="0.35">
      <c r="A15" s="33" t="s">
        <v>25</v>
      </c>
      <c r="B15" s="33" t="s">
        <v>26</v>
      </c>
      <c r="C15" s="33" t="s">
        <v>595</v>
      </c>
      <c r="D15" s="41"/>
      <c r="E15" s="41"/>
    </row>
    <row r="16" spans="1:19" ht="14.5" x14ac:dyDescent="0.35">
      <c r="A16" s="33" t="s">
        <v>27</v>
      </c>
      <c r="B16" s="33" t="s">
        <v>28</v>
      </c>
      <c r="C16" s="33" t="s">
        <v>28</v>
      </c>
      <c r="D16" s="41"/>
      <c r="E16" s="41"/>
    </row>
    <row r="17" spans="1:5" ht="14.5" x14ac:dyDescent="0.35">
      <c r="A17" s="33" t="s">
        <v>29</v>
      </c>
      <c r="B17" s="33" t="s">
        <v>30</v>
      </c>
      <c r="C17" s="33" t="s">
        <v>30</v>
      </c>
      <c r="D17" s="41"/>
      <c r="E17" s="41"/>
    </row>
    <row r="18" spans="1:5" ht="14.5" x14ac:dyDescent="0.35">
      <c r="A18" s="33" t="s">
        <v>31</v>
      </c>
      <c r="B18" s="33" t="s">
        <v>32</v>
      </c>
      <c r="C18" s="33" t="s">
        <v>596</v>
      </c>
      <c r="D18" s="41"/>
      <c r="E18" s="41"/>
    </row>
    <row r="19" spans="1:5" ht="14.5" x14ac:dyDescent="0.35">
      <c r="A19" s="33" t="s">
        <v>33</v>
      </c>
      <c r="B19" s="33" t="s">
        <v>34</v>
      </c>
      <c r="C19" s="33" t="s">
        <v>34</v>
      </c>
      <c r="D19" s="41"/>
      <c r="E19" s="41"/>
    </row>
    <row r="20" spans="1:5" ht="14.5" x14ac:dyDescent="0.35">
      <c r="A20" s="33" t="s">
        <v>35</v>
      </c>
      <c r="B20" s="33" t="s">
        <v>36</v>
      </c>
      <c r="C20" s="33" t="s">
        <v>597</v>
      </c>
      <c r="D20" s="41"/>
      <c r="E20" s="41"/>
    </row>
    <row r="21" spans="1:5" ht="14.5" x14ac:dyDescent="0.35">
      <c r="A21" s="33" t="s">
        <v>37</v>
      </c>
      <c r="B21" s="33" t="s">
        <v>38</v>
      </c>
      <c r="C21" s="33" t="s">
        <v>38</v>
      </c>
      <c r="D21" s="41"/>
      <c r="E21" s="41"/>
    </row>
    <row r="22" spans="1:5" ht="14.5" x14ac:dyDescent="0.35">
      <c r="A22" s="33" t="s">
        <v>39</v>
      </c>
      <c r="B22" s="33" t="s">
        <v>40</v>
      </c>
      <c r="C22" s="33" t="s">
        <v>598</v>
      </c>
      <c r="D22" s="41"/>
      <c r="E22" s="41"/>
    </row>
    <row r="23" spans="1:5" ht="14.5" x14ac:dyDescent="0.35">
      <c r="A23" s="33" t="s">
        <v>41</v>
      </c>
      <c r="B23" s="33" t="s">
        <v>42</v>
      </c>
      <c r="C23" s="33" t="s">
        <v>599</v>
      </c>
      <c r="D23" s="41"/>
      <c r="E23" s="41"/>
    </row>
    <row r="24" spans="1:5" ht="14.5" x14ac:dyDescent="0.35">
      <c r="A24" s="33" t="s">
        <v>43</v>
      </c>
      <c r="B24" s="33" t="s">
        <v>44</v>
      </c>
      <c r="C24" s="33" t="s">
        <v>600</v>
      </c>
      <c r="D24" s="41"/>
      <c r="E24" s="41"/>
    </row>
    <row r="25" spans="1:5" ht="14.5" x14ac:dyDescent="0.35">
      <c r="A25" s="33" t="s">
        <v>45</v>
      </c>
      <c r="B25" s="33" t="s">
        <v>46</v>
      </c>
      <c r="C25" s="33" t="s">
        <v>46</v>
      </c>
      <c r="D25" s="41"/>
      <c r="E25" s="41"/>
    </row>
    <row r="26" spans="1:5" ht="14.5" x14ac:dyDescent="0.35">
      <c r="A26" s="33" t="s">
        <v>47</v>
      </c>
      <c r="B26" s="33" t="s">
        <v>48</v>
      </c>
      <c r="C26" s="33" t="s">
        <v>601</v>
      </c>
      <c r="D26" s="41"/>
      <c r="E26" s="41"/>
    </row>
    <row r="27" spans="1:5" ht="14.5" x14ac:dyDescent="0.35">
      <c r="A27" s="33" t="s">
        <v>49</v>
      </c>
      <c r="B27" s="33" t="s">
        <v>50</v>
      </c>
      <c r="C27" s="33" t="s">
        <v>602</v>
      </c>
      <c r="D27" s="41"/>
      <c r="E27" s="41"/>
    </row>
    <row r="28" spans="1:5" ht="14.5" x14ac:dyDescent="0.35">
      <c r="A28" s="33" t="s">
        <v>51</v>
      </c>
      <c r="B28" s="33" t="s">
        <v>52</v>
      </c>
      <c r="C28" s="33" t="s">
        <v>52</v>
      </c>
      <c r="D28" s="41"/>
      <c r="E28" s="41"/>
    </row>
    <row r="29" spans="1:5" ht="14.5" x14ac:dyDescent="0.35">
      <c r="A29" s="33" t="s">
        <v>53</v>
      </c>
      <c r="B29" s="33" t="s">
        <v>54</v>
      </c>
      <c r="C29" s="33" t="s">
        <v>54</v>
      </c>
      <c r="D29" s="41"/>
      <c r="E29" s="41"/>
    </row>
    <row r="30" spans="1:5" ht="14.5" x14ac:dyDescent="0.35">
      <c r="A30" s="33" t="s">
        <v>55</v>
      </c>
      <c r="B30" s="33" t="s">
        <v>56</v>
      </c>
      <c r="C30" s="33" t="s">
        <v>603</v>
      </c>
      <c r="D30" s="41"/>
      <c r="E30" s="41"/>
    </row>
    <row r="31" spans="1:5" ht="14.5" x14ac:dyDescent="0.35">
      <c r="A31" s="33" t="s">
        <v>57</v>
      </c>
      <c r="B31" s="33" t="s">
        <v>58</v>
      </c>
      <c r="C31" s="33" t="s">
        <v>58</v>
      </c>
      <c r="D31" s="41"/>
      <c r="E31" s="41"/>
    </row>
    <row r="32" spans="1:5" ht="14.5" x14ac:dyDescent="0.35">
      <c r="A32" s="33" t="s">
        <v>59</v>
      </c>
      <c r="B32" s="33" t="s">
        <v>60</v>
      </c>
      <c r="C32" s="33" t="s">
        <v>60</v>
      </c>
      <c r="D32" s="41"/>
      <c r="E32" s="41"/>
    </row>
    <row r="33" spans="1:5" ht="14.5" x14ac:dyDescent="0.35">
      <c r="A33" s="33" t="s">
        <v>61</v>
      </c>
      <c r="B33" s="33" t="s">
        <v>62</v>
      </c>
      <c r="C33" s="33" t="s">
        <v>604</v>
      </c>
      <c r="D33" s="41"/>
      <c r="E33" s="41"/>
    </row>
    <row r="34" spans="1:5" ht="14.5" x14ac:dyDescent="0.35">
      <c r="A34" s="33" t="s">
        <v>63</v>
      </c>
      <c r="B34" s="33" t="s">
        <v>64</v>
      </c>
      <c r="C34" s="33" t="s">
        <v>605</v>
      </c>
      <c r="D34" s="41"/>
      <c r="E34" s="41"/>
    </row>
    <row r="35" spans="1:5" ht="14.5" x14ac:dyDescent="0.35">
      <c r="A35" s="33" t="s">
        <v>65</v>
      </c>
      <c r="B35" s="33" t="s">
        <v>66</v>
      </c>
      <c r="C35" s="33" t="s">
        <v>606</v>
      </c>
      <c r="D35" s="41"/>
      <c r="E35" s="41"/>
    </row>
    <row r="36" spans="1:5" ht="14.5" x14ac:dyDescent="0.35">
      <c r="A36" s="33" t="s">
        <v>67</v>
      </c>
      <c r="B36" s="33" t="s">
        <v>68</v>
      </c>
      <c r="C36" s="33" t="s">
        <v>607</v>
      </c>
      <c r="D36" s="41"/>
      <c r="E36" s="41"/>
    </row>
    <row r="37" spans="1:5" ht="14.5" x14ac:dyDescent="0.35">
      <c r="A37" s="33" t="s">
        <v>69</v>
      </c>
      <c r="B37" s="33" t="s">
        <v>70</v>
      </c>
      <c r="C37" s="33" t="s">
        <v>608</v>
      </c>
      <c r="D37" s="41"/>
      <c r="E37" s="41"/>
    </row>
    <row r="38" spans="1:5" ht="14.5" x14ac:dyDescent="0.35">
      <c r="A38" s="33" t="s">
        <v>71</v>
      </c>
      <c r="B38" s="33" t="s">
        <v>72</v>
      </c>
      <c r="C38" s="33" t="s">
        <v>609</v>
      </c>
      <c r="D38" s="41"/>
      <c r="E38" s="41"/>
    </row>
    <row r="39" spans="1:5" ht="14.5" x14ac:dyDescent="0.35">
      <c r="A39" s="33" t="s">
        <v>73</v>
      </c>
      <c r="B39" s="33" t="s">
        <v>74</v>
      </c>
      <c r="C39" s="33" t="s">
        <v>610</v>
      </c>
      <c r="D39" s="41"/>
      <c r="E39" s="41"/>
    </row>
    <row r="40" spans="1:5" ht="14.5" x14ac:dyDescent="0.35">
      <c r="A40" s="33" t="s">
        <v>75</v>
      </c>
      <c r="B40" s="33" t="s">
        <v>76</v>
      </c>
      <c r="C40" s="33" t="s">
        <v>611</v>
      </c>
      <c r="D40" s="41"/>
      <c r="E40" s="41"/>
    </row>
    <row r="41" spans="1:5" ht="14.5" x14ac:dyDescent="0.35">
      <c r="A41" s="33" t="s">
        <v>77</v>
      </c>
      <c r="B41" s="33" t="s">
        <v>78</v>
      </c>
      <c r="C41" s="33" t="s">
        <v>612</v>
      </c>
      <c r="D41" s="41"/>
      <c r="E41" s="41"/>
    </row>
    <row r="42" spans="1:5" ht="14.5" x14ac:dyDescent="0.35">
      <c r="A42" s="33" t="s">
        <v>79</v>
      </c>
      <c r="B42" s="33" t="s">
        <v>80</v>
      </c>
      <c r="C42" s="33" t="s">
        <v>613</v>
      </c>
      <c r="D42" s="41"/>
      <c r="E42" s="41"/>
    </row>
    <row r="43" spans="1:5" ht="14.5" x14ac:dyDescent="0.35">
      <c r="A43" s="33" t="s">
        <v>81</v>
      </c>
      <c r="B43" s="33" t="s">
        <v>82</v>
      </c>
      <c r="C43" s="33" t="s">
        <v>614</v>
      </c>
      <c r="D43" s="41"/>
      <c r="E43" s="41"/>
    </row>
    <row r="44" spans="1:5" ht="14.5" x14ac:dyDescent="0.35">
      <c r="A44" s="33" t="s">
        <v>83</v>
      </c>
      <c r="B44" s="33" t="s">
        <v>84</v>
      </c>
      <c r="C44" s="33" t="s">
        <v>84</v>
      </c>
      <c r="D44" s="41"/>
      <c r="E44" s="41"/>
    </row>
    <row r="45" spans="1:5" ht="14.5" x14ac:dyDescent="0.35">
      <c r="A45" s="33" t="s">
        <v>85</v>
      </c>
      <c r="B45" s="33" t="s">
        <v>86</v>
      </c>
      <c r="C45" s="33" t="s">
        <v>615</v>
      </c>
      <c r="D45" s="41"/>
      <c r="E45" s="41"/>
    </row>
    <row r="46" spans="1:5" ht="14.5" x14ac:dyDescent="0.35">
      <c r="A46" s="33" t="s">
        <v>87</v>
      </c>
      <c r="B46" s="33" t="s">
        <v>88</v>
      </c>
      <c r="C46" s="33" t="s">
        <v>616</v>
      </c>
      <c r="D46" s="41"/>
      <c r="E46" s="41"/>
    </row>
    <row r="47" spans="1:5" ht="14.5" x14ac:dyDescent="0.35">
      <c r="A47" s="33" t="s">
        <v>89</v>
      </c>
      <c r="B47" s="33" t="s">
        <v>90</v>
      </c>
      <c r="C47" s="33" t="s">
        <v>617</v>
      </c>
      <c r="D47" s="41"/>
      <c r="E47" s="41"/>
    </row>
    <row r="48" spans="1:5" ht="14.5" x14ac:dyDescent="0.35">
      <c r="A48" s="33" t="s">
        <v>91</v>
      </c>
      <c r="B48" s="33" t="s">
        <v>92</v>
      </c>
      <c r="C48" s="33" t="s">
        <v>618</v>
      </c>
      <c r="D48" s="41"/>
      <c r="E48" s="41"/>
    </row>
    <row r="49" spans="1:5" ht="14.5" x14ac:dyDescent="0.35">
      <c r="A49" s="33" t="s">
        <v>93</v>
      </c>
      <c r="B49" s="33" t="s">
        <v>94</v>
      </c>
      <c r="C49" s="33" t="s">
        <v>619</v>
      </c>
      <c r="D49" s="41"/>
      <c r="E49" s="41"/>
    </row>
    <row r="50" spans="1:5" ht="14.5" x14ac:dyDescent="0.35">
      <c r="A50" s="33" t="s">
        <v>95</v>
      </c>
      <c r="B50" s="33" t="s">
        <v>96</v>
      </c>
      <c r="C50" s="33" t="s">
        <v>620</v>
      </c>
      <c r="D50" s="41"/>
      <c r="E50" s="41"/>
    </row>
    <row r="51" spans="1:5" ht="14.5" x14ac:dyDescent="0.35">
      <c r="A51" s="33" t="s">
        <v>97</v>
      </c>
      <c r="B51" s="33" t="s">
        <v>98</v>
      </c>
      <c r="C51" s="33" t="s">
        <v>621</v>
      </c>
      <c r="D51" s="41"/>
      <c r="E51" s="41"/>
    </row>
    <row r="52" spans="1:5" ht="14.5" x14ac:dyDescent="0.35">
      <c r="A52" s="33" t="s">
        <v>99</v>
      </c>
      <c r="B52" s="33" t="s">
        <v>100</v>
      </c>
      <c r="C52" s="33" t="s">
        <v>100</v>
      </c>
      <c r="D52" s="41"/>
      <c r="E52" s="41"/>
    </row>
    <row r="53" spans="1:5" ht="14.5" x14ac:dyDescent="0.35">
      <c r="A53" s="33" t="s">
        <v>101</v>
      </c>
      <c r="B53" s="33" t="s">
        <v>102</v>
      </c>
      <c r="C53" s="33" t="s">
        <v>622</v>
      </c>
      <c r="D53" s="41"/>
      <c r="E53" s="41"/>
    </row>
    <row r="54" spans="1:5" ht="14.5" x14ac:dyDescent="0.35">
      <c r="A54" s="33" t="s">
        <v>103</v>
      </c>
      <c r="B54" s="33" t="s">
        <v>104</v>
      </c>
      <c r="C54" s="33" t="s">
        <v>623</v>
      </c>
      <c r="D54" s="41"/>
      <c r="E54" s="41"/>
    </row>
    <row r="55" spans="1:5" ht="14.5" x14ac:dyDescent="0.35">
      <c r="A55" s="33" t="s">
        <v>105</v>
      </c>
      <c r="B55" s="33" t="s">
        <v>106</v>
      </c>
      <c r="C55" s="33" t="s">
        <v>624</v>
      </c>
      <c r="D55" s="41"/>
      <c r="E55" s="41"/>
    </row>
    <row r="56" spans="1:5" ht="14.5" x14ac:dyDescent="0.35">
      <c r="A56" s="33" t="s">
        <v>107</v>
      </c>
      <c r="B56" s="33" t="s">
        <v>108</v>
      </c>
      <c r="C56" s="33" t="s">
        <v>625</v>
      </c>
      <c r="D56" s="41"/>
      <c r="E56" s="41"/>
    </row>
    <row r="57" spans="1:5" ht="14.5" x14ac:dyDescent="0.35">
      <c r="A57" s="33" t="s">
        <v>109</v>
      </c>
      <c r="B57" s="33" t="s">
        <v>110</v>
      </c>
      <c r="C57" s="33" t="s">
        <v>626</v>
      </c>
      <c r="D57" s="41"/>
      <c r="E57" s="41"/>
    </row>
    <row r="58" spans="1:5" ht="14.5" x14ac:dyDescent="0.35">
      <c r="A58" s="33" t="s">
        <v>111</v>
      </c>
      <c r="B58" s="33" t="s">
        <v>112</v>
      </c>
      <c r="C58" s="33" t="s">
        <v>627</v>
      </c>
      <c r="D58" s="41"/>
      <c r="E58" s="41"/>
    </row>
    <row r="59" spans="1:5" ht="14.5" x14ac:dyDescent="0.35">
      <c r="A59" s="33" t="s">
        <v>113</v>
      </c>
      <c r="B59" s="33" t="s">
        <v>114</v>
      </c>
      <c r="C59" s="33" t="s">
        <v>628</v>
      </c>
      <c r="D59" s="41"/>
      <c r="E59" s="41"/>
    </row>
    <row r="60" spans="1:5" ht="14.5" x14ac:dyDescent="0.35">
      <c r="A60" s="33" t="s">
        <v>115</v>
      </c>
      <c r="B60" s="33" t="s">
        <v>116</v>
      </c>
      <c r="C60" s="33" t="s">
        <v>116</v>
      </c>
      <c r="D60" s="41"/>
      <c r="E60" s="41"/>
    </row>
    <row r="61" spans="1:5" ht="14.5" x14ac:dyDescent="0.35">
      <c r="A61" s="33" t="s">
        <v>117</v>
      </c>
      <c r="B61" s="33" t="s">
        <v>118</v>
      </c>
      <c r="C61" s="33" t="s">
        <v>629</v>
      </c>
      <c r="D61" s="41"/>
      <c r="E61" s="41"/>
    </row>
    <row r="62" spans="1:5" ht="14.5" x14ac:dyDescent="0.35">
      <c r="A62" s="33" t="s">
        <v>119</v>
      </c>
      <c r="B62" s="33" t="s">
        <v>120</v>
      </c>
      <c r="C62" s="33" t="s">
        <v>120</v>
      </c>
      <c r="D62" s="41"/>
      <c r="E62" s="41"/>
    </row>
    <row r="63" spans="1:5" ht="14.5" x14ac:dyDescent="0.35">
      <c r="A63" s="33" t="s">
        <v>121</v>
      </c>
      <c r="B63" s="33" t="s">
        <v>122</v>
      </c>
      <c r="C63" s="33" t="s">
        <v>630</v>
      </c>
      <c r="D63" s="41"/>
      <c r="E63" s="41"/>
    </row>
    <row r="64" spans="1:5" ht="14.5" x14ac:dyDescent="0.35">
      <c r="A64" s="33" t="s">
        <v>123</v>
      </c>
      <c r="B64" s="33" t="s">
        <v>124</v>
      </c>
      <c r="C64" s="33" t="s">
        <v>631</v>
      </c>
      <c r="D64" s="41"/>
      <c r="E64" s="41"/>
    </row>
    <row r="65" spans="1:5" ht="14.5" x14ac:dyDescent="0.35">
      <c r="A65" s="33" t="s">
        <v>125</v>
      </c>
      <c r="B65" s="33" t="s">
        <v>126</v>
      </c>
      <c r="C65" s="33" t="s">
        <v>632</v>
      </c>
      <c r="D65" s="41"/>
      <c r="E65" s="41"/>
    </row>
    <row r="66" spans="1:5" ht="14.5" x14ac:dyDescent="0.35">
      <c r="A66" s="33" t="s">
        <v>127</v>
      </c>
      <c r="B66" s="33" t="s">
        <v>128</v>
      </c>
      <c r="C66" s="33" t="s">
        <v>633</v>
      </c>
      <c r="D66" s="41"/>
      <c r="E66" s="41"/>
    </row>
    <row r="67" spans="1:5" ht="14.5" x14ac:dyDescent="0.35">
      <c r="A67" s="33" t="s">
        <v>129</v>
      </c>
      <c r="B67" s="33" t="s">
        <v>130</v>
      </c>
      <c r="C67" s="33" t="s">
        <v>634</v>
      </c>
      <c r="D67" s="41"/>
      <c r="E67" s="41"/>
    </row>
    <row r="68" spans="1:5" ht="14.5" x14ac:dyDescent="0.35">
      <c r="A68" s="33" t="s">
        <v>131</v>
      </c>
      <c r="B68" s="33" t="s">
        <v>132</v>
      </c>
      <c r="C68" s="33" t="s">
        <v>635</v>
      </c>
      <c r="D68" s="41"/>
      <c r="E68" s="41"/>
    </row>
    <row r="69" spans="1:5" ht="14.5" x14ac:dyDescent="0.35">
      <c r="A69" s="33" t="s">
        <v>133</v>
      </c>
      <c r="B69" s="33" t="s">
        <v>134</v>
      </c>
      <c r="C69" s="33" t="s">
        <v>134</v>
      </c>
      <c r="D69" s="41"/>
      <c r="E69" s="41"/>
    </row>
    <row r="70" spans="1:5" ht="14.5" x14ac:dyDescent="0.35">
      <c r="A70" s="33" t="s">
        <v>561</v>
      </c>
      <c r="B70" s="33" t="s">
        <v>562</v>
      </c>
      <c r="C70" s="33" t="s">
        <v>636</v>
      </c>
      <c r="D70" s="41"/>
      <c r="E70" s="41"/>
    </row>
    <row r="71" spans="1:5" ht="14.5" x14ac:dyDescent="0.35">
      <c r="A71" s="33" t="s">
        <v>135</v>
      </c>
      <c r="B71" s="33" t="s">
        <v>136</v>
      </c>
      <c r="C71" s="33" t="s">
        <v>637</v>
      </c>
      <c r="D71" s="41"/>
      <c r="E71" s="41"/>
    </row>
    <row r="72" spans="1:5" ht="14.5" x14ac:dyDescent="0.35">
      <c r="A72" s="33" t="s">
        <v>563</v>
      </c>
      <c r="B72" s="33" t="s">
        <v>564</v>
      </c>
      <c r="C72" s="33" t="s">
        <v>638</v>
      </c>
      <c r="D72" s="41"/>
      <c r="E72" s="41"/>
    </row>
    <row r="73" spans="1:5" ht="14.5" x14ac:dyDescent="0.35">
      <c r="A73" s="33" t="s">
        <v>137</v>
      </c>
      <c r="B73" s="33" t="s">
        <v>138</v>
      </c>
      <c r="C73" s="33" t="s">
        <v>138</v>
      </c>
      <c r="D73" s="41"/>
      <c r="E73" s="41"/>
    </row>
    <row r="74" spans="1:5" ht="14.5" x14ac:dyDescent="0.35">
      <c r="A74" s="33" t="s">
        <v>139</v>
      </c>
      <c r="B74" s="33" t="s">
        <v>140</v>
      </c>
      <c r="C74" s="33" t="s">
        <v>140</v>
      </c>
      <c r="D74" s="41"/>
      <c r="E74" s="41"/>
    </row>
    <row r="75" spans="1:5" ht="14.5" x14ac:dyDescent="0.35">
      <c r="A75" s="33" t="s">
        <v>141</v>
      </c>
      <c r="B75" s="33" t="s">
        <v>142</v>
      </c>
      <c r="C75" s="33" t="s">
        <v>142</v>
      </c>
      <c r="D75" s="41"/>
      <c r="E75" s="41"/>
    </row>
    <row r="76" spans="1:5" ht="14.5" x14ac:dyDescent="0.35">
      <c r="A76" s="33" t="s">
        <v>143</v>
      </c>
      <c r="B76" s="33" t="s">
        <v>144</v>
      </c>
      <c r="C76" s="33" t="s">
        <v>639</v>
      </c>
      <c r="D76" s="41"/>
      <c r="E76" s="41"/>
    </row>
    <row r="77" spans="1:5" ht="14.5" x14ac:dyDescent="0.35">
      <c r="A77" s="33" t="s">
        <v>145</v>
      </c>
      <c r="B77" s="33" t="s">
        <v>146</v>
      </c>
      <c r="C77" s="33" t="s">
        <v>640</v>
      </c>
      <c r="D77" s="41"/>
      <c r="E77" s="41"/>
    </row>
    <row r="78" spans="1:5" ht="14.5" x14ac:dyDescent="0.35">
      <c r="A78" s="33" t="s">
        <v>147</v>
      </c>
      <c r="B78" s="33" t="s">
        <v>148</v>
      </c>
      <c r="C78" s="33" t="s">
        <v>148</v>
      </c>
      <c r="D78" s="41"/>
      <c r="E78" s="41"/>
    </row>
    <row r="79" spans="1:5" ht="14.5" x14ac:dyDescent="0.35">
      <c r="A79" s="33" t="s">
        <v>149</v>
      </c>
      <c r="B79" s="33" t="s">
        <v>150</v>
      </c>
      <c r="C79" s="33" t="s">
        <v>150</v>
      </c>
      <c r="D79" s="41"/>
      <c r="E79" s="41"/>
    </row>
    <row r="80" spans="1:5" ht="14.5" x14ac:dyDescent="0.35">
      <c r="A80" s="33" t="s">
        <v>151</v>
      </c>
      <c r="B80" s="33" t="s">
        <v>152</v>
      </c>
      <c r="C80" s="33" t="s">
        <v>152</v>
      </c>
      <c r="D80" s="41"/>
      <c r="E80" s="41"/>
    </row>
    <row r="81" spans="1:5" ht="14.5" x14ac:dyDescent="0.35">
      <c r="A81" s="33" t="s">
        <v>153</v>
      </c>
      <c r="B81" s="33" t="s">
        <v>154</v>
      </c>
      <c r="C81" s="33" t="s">
        <v>154</v>
      </c>
      <c r="D81" s="41"/>
      <c r="E81" s="41"/>
    </row>
    <row r="82" spans="1:5" ht="14.5" x14ac:dyDescent="0.35">
      <c r="A82" s="33" t="s">
        <v>155</v>
      </c>
      <c r="B82" s="33" t="s">
        <v>156</v>
      </c>
      <c r="C82" s="33" t="s">
        <v>156</v>
      </c>
      <c r="D82" s="41"/>
      <c r="E82" s="41"/>
    </row>
    <row r="83" spans="1:5" ht="14.5" x14ac:dyDescent="0.35">
      <c r="A83" s="33" t="s">
        <v>157</v>
      </c>
      <c r="B83" s="33" t="s">
        <v>158</v>
      </c>
      <c r="C83" s="33" t="s">
        <v>158</v>
      </c>
      <c r="D83" s="41"/>
      <c r="E83" s="41"/>
    </row>
    <row r="84" spans="1:5" ht="14.5" x14ac:dyDescent="0.35">
      <c r="A84" s="33" t="s">
        <v>159</v>
      </c>
      <c r="B84" s="33" t="s">
        <v>160</v>
      </c>
      <c r="C84" s="33" t="s">
        <v>641</v>
      </c>
      <c r="D84" s="41"/>
      <c r="E84" s="41"/>
    </row>
    <row r="85" spans="1:5" ht="14.5" x14ac:dyDescent="0.35">
      <c r="A85" s="33" t="s">
        <v>161</v>
      </c>
      <c r="B85" s="33" t="s">
        <v>162</v>
      </c>
      <c r="C85" s="33" t="s">
        <v>162</v>
      </c>
      <c r="D85" s="41"/>
      <c r="E85" s="41"/>
    </row>
    <row r="86" spans="1:5" ht="14.5" x14ac:dyDescent="0.35">
      <c r="A86" s="33" t="s">
        <v>163</v>
      </c>
      <c r="B86" s="33" t="s">
        <v>164</v>
      </c>
      <c r="C86" s="33" t="s">
        <v>164</v>
      </c>
      <c r="D86" s="41"/>
      <c r="E86" s="41"/>
    </row>
    <row r="87" spans="1:5" ht="14.5" x14ac:dyDescent="0.35">
      <c r="A87" s="33" t="s">
        <v>165</v>
      </c>
      <c r="B87" s="33" t="s">
        <v>166</v>
      </c>
      <c r="C87" s="33" t="s">
        <v>166</v>
      </c>
      <c r="D87" s="41"/>
      <c r="E87" s="41"/>
    </row>
    <row r="88" spans="1:5" ht="14.5" x14ac:dyDescent="0.35">
      <c r="A88" s="33" t="s">
        <v>167</v>
      </c>
      <c r="B88" s="33" t="s">
        <v>168</v>
      </c>
      <c r="C88" s="33" t="s">
        <v>168</v>
      </c>
      <c r="D88" s="41"/>
      <c r="E88" s="41"/>
    </row>
    <row r="89" spans="1:5" ht="14.5" x14ac:dyDescent="0.35">
      <c r="A89" s="33" t="s">
        <v>169</v>
      </c>
      <c r="B89" s="33" t="s">
        <v>170</v>
      </c>
      <c r="C89" s="33" t="s">
        <v>642</v>
      </c>
      <c r="D89" s="41"/>
      <c r="E89" s="41"/>
    </row>
    <row r="90" spans="1:5" ht="14.5" x14ac:dyDescent="0.35">
      <c r="A90" s="33" t="s">
        <v>171</v>
      </c>
      <c r="B90" s="33" t="s">
        <v>172</v>
      </c>
      <c r="C90" s="33" t="s">
        <v>643</v>
      </c>
      <c r="D90" s="41"/>
      <c r="E90" s="41"/>
    </row>
    <row r="91" spans="1:5" ht="14.5" x14ac:dyDescent="0.35">
      <c r="A91" s="33" t="s">
        <v>173</v>
      </c>
      <c r="B91" s="33" t="s">
        <v>174</v>
      </c>
      <c r="C91" s="33" t="s">
        <v>644</v>
      </c>
      <c r="D91" s="41"/>
      <c r="E91" s="41"/>
    </row>
    <row r="92" spans="1:5" ht="14.5" x14ac:dyDescent="0.35">
      <c r="A92" s="33" t="s">
        <v>175</v>
      </c>
      <c r="B92" s="33" t="s">
        <v>176</v>
      </c>
      <c r="C92" s="33" t="s">
        <v>645</v>
      </c>
      <c r="D92" s="41"/>
      <c r="E92" s="41"/>
    </row>
    <row r="93" spans="1:5" ht="14.5" x14ac:dyDescent="0.35">
      <c r="A93" s="33" t="s">
        <v>177</v>
      </c>
      <c r="B93" s="33" t="s">
        <v>178</v>
      </c>
      <c r="C93" s="33" t="s">
        <v>646</v>
      </c>
      <c r="D93" s="41"/>
      <c r="E93" s="41"/>
    </row>
    <row r="94" spans="1:5" ht="14.5" x14ac:dyDescent="0.35">
      <c r="A94" s="33" t="s">
        <v>179</v>
      </c>
      <c r="B94" s="33" t="s">
        <v>180</v>
      </c>
      <c r="C94" s="33" t="s">
        <v>647</v>
      </c>
      <c r="D94" s="41"/>
      <c r="E94" s="41"/>
    </row>
    <row r="95" spans="1:5" ht="14.5" x14ac:dyDescent="0.35">
      <c r="A95" s="33" t="s">
        <v>181</v>
      </c>
      <c r="B95" s="33" t="s">
        <v>182</v>
      </c>
      <c r="C95" s="33" t="s">
        <v>648</v>
      </c>
      <c r="D95" s="41"/>
      <c r="E95" s="41"/>
    </row>
    <row r="96" spans="1:5" ht="14.5" x14ac:dyDescent="0.35">
      <c r="A96" s="33" t="s">
        <v>183</v>
      </c>
      <c r="B96" s="33" t="s">
        <v>184</v>
      </c>
      <c r="C96" s="33" t="s">
        <v>649</v>
      </c>
      <c r="D96" s="41"/>
      <c r="E96" s="41"/>
    </row>
    <row r="97" spans="1:5" ht="14.5" x14ac:dyDescent="0.35">
      <c r="A97" s="33" t="s">
        <v>185</v>
      </c>
      <c r="B97" s="33" t="s">
        <v>186</v>
      </c>
      <c r="C97" s="33" t="s">
        <v>186</v>
      </c>
      <c r="D97" s="41"/>
      <c r="E97" s="41"/>
    </row>
    <row r="98" spans="1:5" ht="14.5" x14ac:dyDescent="0.35">
      <c r="A98" s="33" t="s">
        <v>187</v>
      </c>
      <c r="B98" s="33" t="s">
        <v>188</v>
      </c>
      <c r="C98" s="33" t="s">
        <v>650</v>
      </c>
      <c r="D98" s="41"/>
      <c r="E98" s="41"/>
    </row>
    <row r="99" spans="1:5" ht="14.5" x14ac:dyDescent="0.35">
      <c r="A99" s="33" t="s">
        <v>189</v>
      </c>
      <c r="B99" s="33" t="s">
        <v>190</v>
      </c>
      <c r="C99" s="33" t="s">
        <v>190</v>
      </c>
      <c r="D99" s="41"/>
      <c r="E99" s="41"/>
    </row>
    <row r="100" spans="1:5" ht="14.5" x14ac:dyDescent="0.35">
      <c r="A100" s="33" t="s">
        <v>191</v>
      </c>
      <c r="B100" s="33" t="s">
        <v>192</v>
      </c>
      <c r="C100" s="33" t="s">
        <v>651</v>
      </c>
      <c r="D100" s="41"/>
      <c r="E100" s="41"/>
    </row>
    <row r="101" spans="1:5" ht="14.5" x14ac:dyDescent="0.35">
      <c r="A101" s="33" t="s">
        <v>193</v>
      </c>
      <c r="B101" s="33" t="s">
        <v>194</v>
      </c>
      <c r="C101" s="33" t="s">
        <v>194</v>
      </c>
      <c r="D101" s="41"/>
      <c r="E101" s="41"/>
    </row>
    <row r="102" spans="1:5" ht="14.5" x14ac:dyDescent="0.35">
      <c r="A102" s="33" t="s">
        <v>195</v>
      </c>
      <c r="B102" s="33" t="s">
        <v>196</v>
      </c>
      <c r="C102" s="33" t="s">
        <v>652</v>
      </c>
      <c r="D102" s="41"/>
      <c r="E102" s="41"/>
    </row>
    <row r="103" spans="1:5" ht="14.5" x14ac:dyDescent="0.35">
      <c r="A103" s="33" t="s">
        <v>197</v>
      </c>
      <c r="B103" s="33" t="s">
        <v>198</v>
      </c>
      <c r="C103" s="33" t="s">
        <v>198</v>
      </c>
      <c r="D103" s="41"/>
      <c r="E103" s="41"/>
    </row>
    <row r="104" spans="1:5" ht="14.5" x14ac:dyDescent="0.35">
      <c r="A104" s="33" t="s">
        <v>199</v>
      </c>
      <c r="B104" s="33" t="s">
        <v>200</v>
      </c>
      <c r="C104" s="33" t="s">
        <v>653</v>
      </c>
      <c r="D104" s="41"/>
      <c r="E104" s="41"/>
    </row>
    <row r="105" spans="1:5" ht="14.5" x14ac:dyDescent="0.35">
      <c r="A105" s="33" t="s">
        <v>201</v>
      </c>
      <c r="B105" s="33" t="s">
        <v>202</v>
      </c>
      <c r="C105" s="33" t="s">
        <v>202</v>
      </c>
      <c r="D105" s="41"/>
      <c r="E105" s="41"/>
    </row>
    <row r="106" spans="1:5" ht="14.5" x14ac:dyDescent="0.35">
      <c r="A106" s="33" t="s">
        <v>203</v>
      </c>
      <c r="B106" s="33" t="s">
        <v>204</v>
      </c>
      <c r="C106" s="33" t="s">
        <v>654</v>
      </c>
      <c r="D106" s="41"/>
      <c r="E106" s="41"/>
    </row>
    <row r="107" spans="1:5" ht="14.5" x14ac:dyDescent="0.35">
      <c r="A107" s="33" t="s">
        <v>205</v>
      </c>
      <c r="B107" s="33" t="s">
        <v>206</v>
      </c>
      <c r="C107" s="33" t="s">
        <v>655</v>
      </c>
      <c r="D107" s="41"/>
      <c r="E107" s="41"/>
    </row>
    <row r="108" spans="1:5" ht="14.5" x14ac:dyDescent="0.35">
      <c r="A108" s="33" t="s">
        <v>207</v>
      </c>
      <c r="B108" s="33" t="s">
        <v>208</v>
      </c>
      <c r="C108" s="33" t="s">
        <v>656</v>
      </c>
      <c r="D108" s="41"/>
      <c r="E108" s="41"/>
    </row>
    <row r="109" spans="1:5" ht="14.5" x14ac:dyDescent="0.35">
      <c r="A109" s="33" t="s">
        <v>209</v>
      </c>
      <c r="B109" s="33" t="s">
        <v>210</v>
      </c>
      <c r="C109" s="33" t="s">
        <v>657</v>
      </c>
      <c r="D109" s="41"/>
      <c r="E109" s="41"/>
    </row>
    <row r="110" spans="1:5" ht="14.5" x14ac:dyDescent="0.35">
      <c r="A110" s="33" t="s">
        <v>211</v>
      </c>
      <c r="B110" s="33" t="s">
        <v>212</v>
      </c>
      <c r="C110" s="33" t="s">
        <v>658</v>
      </c>
      <c r="D110" s="41"/>
      <c r="E110" s="41"/>
    </row>
    <row r="111" spans="1:5" ht="14.5" x14ac:dyDescent="0.35">
      <c r="A111" s="33" t="s">
        <v>213</v>
      </c>
      <c r="B111" s="33" t="s">
        <v>214</v>
      </c>
      <c r="C111" s="33" t="s">
        <v>659</v>
      </c>
      <c r="D111" s="41"/>
      <c r="E111" s="41"/>
    </row>
    <row r="112" spans="1:5" ht="14.5" x14ac:dyDescent="0.35">
      <c r="A112" s="33" t="s">
        <v>215</v>
      </c>
      <c r="B112" s="33" t="s">
        <v>216</v>
      </c>
      <c r="C112" s="33" t="s">
        <v>216</v>
      </c>
      <c r="D112" s="41"/>
      <c r="E112" s="41"/>
    </row>
    <row r="113" spans="1:5" ht="14.5" x14ac:dyDescent="0.35">
      <c r="A113" s="33" t="s">
        <v>217</v>
      </c>
      <c r="B113" s="33" t="s">
        <v>218</v>
      </c>
      <c r="C113" s="33" t="s">
        <v>660</v>
      </c>
      <c r="D113" s="41"/>
      <c r="E113" s="41"/>
    </row>
    <row r="114" spans="1:5" ht="14.5" x14ac:dyDescent="0.35">
      <c r="A114" s="33" t="s">
        <v>219</v>
      </c>
      <c r="B114" s="33" t="s">
        <v>220</v>
      </c>
      <c r="C114" s="33" t="s">
        <v>220</v>
      </c>
      <c r="D114" s="41"/>
      <c r="E114" s="41"/>
    </row>
    <row r="115" spans="1:5" ht="14.5" x14ac:dyDescent="0.35">
      <c r="A115" s="33" t="s">
        <v>221</v>
      </c>
      <c r="B115" s="33" t="s">
        <v>222</v>
      </c>
      <c r="C115" s="33" t="s">
        <v>661</v>
      </c>
      <c r="D115" s="41"/>
      <c r="E115" s="41"/>
    </row>
    <row r="116" spans="1:5" ht="14.5" x14ac:dyDescent="0.35">
      <c r="A116" s="33" t="s">
        <v>223</v>
      </c>
      <c r="B116" s="33" t="s">
        <v>224</v>
      </c>
      <c r="C116" s="33" t="s">
        <v>662</v>
      </c>
      <c r="D116" s="41"/>
      <c r="E116" s="41"/>
    </row>
    <row r="117" spans="1:5" ht="14.5" x14ac:dyDescent="0.35">
      <c r="A117" s="33" t="s">
        <v>225</v>
      </c>
      <c r="B117" s="33" t="s">
        <v>226</v>
      </c>
      <c r="C117" s="33" t="s">
        <v>226</v>
      </c>
      <c r="D117" s="41"/>
      <c r="E117" s="41"/>
    </row>
    <row r="118" spans="1:5" ht="14.5" x14ac:dyDescent="0.35">
      <c r="A118" s="33" t="s">
        <v>227</v>
      </c>
      <c r="B118" s="33" t="s">
        <v>228</v>
      </c>
      <c r="C118" s="33" t="s">
        <v>663</v>
      </c>
      <c r="D118" s="41"/>
      <c r="E118" s="41"/>
    </row>
    <row r="119" spans="1:5" ht="14.5" x14ac:dyDescent="0.35">
      <c r="A119" s="33" t="s">
        <v>229</v>
      </c>
      <c r="B119" s="33" t="s">
        <v>230</v>
      </c>
      <c r="C119" s="33" t="s">
        <v>230</v>
      </c>
      <c r="D119" s="41"/>
      <c r="E119" s="41"/>
    </row>
    <row r="120" spans="1:5" ht="14.5" x14ac:dyDescent="0.35">
      <c r="A120" s="33" t="s">
        <v>231</v>
      </c>
      <c r="B120" s="33" t="s">
        <v>232</v>
      </c>
      <c r="C120" s="33" t="s">
        <v>664</v>
      </c>
      <c r="D120" s="41"/>
      <c r="E120" s="41"/>
    </row>
    <row r="121" spans="1:5" ht="14.5" x14ac:dyDescent="0.35">
      <c r="A121" s="33" t="s">
        <v>233</v>
      </c>
      <c r="B121" s="33" t="s">
        <v>234</v>
      </c>
      <c r="C121" s="33" t="s">
        <v>665</v>
      </c>
      <c r="D121" s="41"/>
      <c r="E121" s="41"/>
    </row>
    <row r="122" spans="1:5" ht="14.5" x14ac:dyDescent="0.35">
      <c r="A122" s="33" t="s">
        <v>235</v>
      </c>
      <c r="B122" s="33" t="s">
        <v>236</v>
      </c>
      <c r="C122" s="33" t="s">
        <v>236</v>
      </c>
      <c r="D122" s="41"/>
      <c r="E122" s="41"/>
    </row>
    <row r="123" spans="1:5" ht="14.5" x14ac:dyDescent="0.35">
      <c r="A123" s="33" t="s">
        <v>237</v>
      </c>
      <c r="B123" s="33" t="s">
        <v>238</v>
      </c>
      <c r="C123" s="33" t="s">
        <v>756</v>
      </c>
      <c r="D123" s="41"/>
      <c r="E123" s="41"/>
    </row>
    <row r="124" spans="1:5" ht="14.5" x14ac:dyDescent="0.35">
      <c r="A124" s="33" t="s">
        <v>239</v>
      </c>
      <c r="B124" s="33" t="s">
        <v>240</v>
      </c>
      <c r="C124" s="33" t="s">
        <v>666</v>
      </c>
      <c r="D124" s="41"/>
      <c r="E124" s="41"/>
    </row>
    <row r="125" spans="1:5" ht="14.5" x14ac:dyDescent="0.35">
      <c r="A125" s="33" t="s">
        <v>241</v>
      </c>
      <c r="B125" s="33" t="s">
        <v>242</v>
      </c>
      <c r="C125" s="33" t="s">
        <v>667</v>
      </c>
      <c r="D125" s="41"/>
      <c r="E125" s="41"/>
    </row>
    <row r="126" spans="1:5" ht="14.5" x14ac:dyDescent="0.35">
      <c r="A126" s="33" t="s">
        <v>243</v>
      </c>
      <c r="B126" s="33" t="s">
        <v>244</v>
      </c>
      <c r="C126" s="33" t="s">
        <v>668</v>
      </c>
      <c r="D126" s="41"/>
      <c r="E126" s="41"/>
    </row>
    <row r="127" spans="1:5" ht="14.5" x14ac:dyDescent="0.35">
      <c r="A127" s="33" t="s">
        <v>245</v>
      </c>
      <c r="B127" s="33" t="s">
        <v>246</v>
      </c>
      <c r="C127" s="33" t="s">
        <v>669</v>
      </c>
      <c r="D127" s="41"/>
      <c r="E127" s="41"/>
    </row>
    <row r="128" spans="1:5" ht="14.5" x14ac:dyDescent="0.35">
      <c r="A128" s="33" t="s">
        <v>247</v>
      </c>
      <c r="B128" s="33" t="s">
        <v>248</v>
      </c>
      <c r="C128" s="33" t="s">
        <v>248</v>
      </c>
      <c r="D128" s="41"/>
      <c r="E128" s="41"/>
    </row>
    <row r="129" spans="1:5" ht="14.5" x14ac:dyDescent="0.35">
      <c r="A129" s="33" t="s">
        <v>249</v>
      </c>
      <c r="B129" s="33" t="s">
        <v>250</v>
      </c>
      <c r="C129" s="33" t="s">
        <v>250</v>
      </c>
      <c r="D129" s="41"/>
      <c r="E129" s="41"/>
    </row>
    <row r="130" spans="1:5" ht="14.5" x14ac:dyDescent="0.35">
      <c r="A130" s="33" t="s">
        <v>251</v>
      </c>
      <c r="B130" s="33" t="s">
        <v>252</v>
      </c>
      <c r="C130" s="33" t="s">
        <v>252</v>
      </c>
      <c r="D130" s="41"/>
      <c r="E130" s="41"/>
    </row>
    <row r="131" spans="1:5" ht="14.5" x14ac:dyDescent="0.35">
      <c r="A131" s="33" t="s">
        <v>253</v>
      </c>
      <c r="B131" s="33" t="s">
        <v>254</v>
      </c>
      <c r="C131" s="33" t="s">
        <v>254</v>
      </c>
      <c r="D131" s="41"/>
      <c r="E131" s="41"/>
    </row>
    <row r="132" spans="1:5" ht="14.5" x14ac:dyDescent="0.35">
      <c r="A132" s="33" t="s">
        <v>255</v>
      </c>
      <c r="B132" s="33" t="s">
        <v>256</v>
      </c>
      <c r="C132" s="33" t="s">
        <v>256</v>
      </c>
      <c r="D132" s="41"/>
      <c r="E132" s="41"/>
    </row>
    <row r="133" spans="1:5" ht="14.5" x14ac:dyDescent="0.35">
      <c r="A133" s="33" t="s">
        <v>257</v>
      </c>
      <c r="B133" s="33" t="s">
        <v>258</v>
      </c>
      <c r="C133" s="33" t="s">
        <v>258</v>
      </c>
      <c r="D133" s="41"/>
      <c r="E133" s="41"/>
    </row>
    <row r="134" spans="1:5" ht="14.5" x14ac:dyDescent="0.35">
      <c r="A134" s="33" t="s">
        <v>259</v>
      </c>
      <c r="B134" s="33" t="s">
        <v>260</v>
      </c>
      <c r="C134" s="33" t="s">
        <v>260</v>
      </c>
      <c r="D134" s="41"/>
      <c r="E134" s="41"/>
    </row>
    <row r="135" spans="1:5" ht="14.5" x14ac:dyDescent="0.35">
      <c r="A135" s="33" t="s">
        <v>261</v>
      </c>
      <c r="B135" s="33" t="s">
        <v>262</v>
      </c>
      <c r="C135" s="33" t="s">
        <v>262</v>
      </c>
      <c r="D135" s="41"/>
      <c r="E135" s="41"/>
    </row>
    <row r="136" spans="1:5" ht="14.5" x14ac:dyDescent="0.35">
      <c r="A136" s="33" t="s">
        <v>263</v>
      </c>
      <c r="B136" s="33" t="s">
        <v>264</v>
      </c>
      <c r="C136" s="33" t="s">
        <v>264</v>
      </c>
      <c r="D136" s="41"/>
      <c r="E136" s="41"/>
    </row>
    <row r="137" spans="1:5" ht="14.5" x14ac:dyDescent="0.35">
      <c r="A137" s="33" t="s">
        <v>265</v>
      </c>
      <c r="B137" s="33" t="s">
        <v>266</v>
      </c>
      <c r="C137" s="33" t="s">
        <v>670</v>
      </c>
      <c r="D137" s="41"/>
      <c r="E137" s="41"/>
    </row>
    <row r="138" spans="1:5" ht="14.5" x14ac:dyDescent="0.35">
      <c r="A138" s="33" t="s">
        <v>267</v>
      </c>
      <c r="B138" s="33" t="s">
        <v>268</v>
      </c>
      <c r="C138" s="33" t="s">
        <v>671</v>
      </c>
      <c r="D138" s="41"/>
      <c r="E138" s="41"/>
    </row>
    <row r="139" spans="1:5" ht="14.5" x14ac:dyDescent="0.35">
      <c r="A139" s="33" t="s">
        <v>269</v>
      </c>
      <c r="B139" s="33" t="s">
        <v>270</v>
      </c>
      <c r="C139" s="33" t="s">
        <v>270</v>
      </c>
      <c r="D139" s="41"/>
      <c r="E139" s="41"/>
    </row>
    <row r="140" spans="1:5" ht="14.5" x14ac:dyDescent="0.35">
      <c r="A140" s="33" t="s">
        <v>271</v>
      </c>
      <c r="B140" s="33" t="s">
        <v>272</v>
      </c>
      <c r="C140" s="33" t="s">
        <v>272</v>
      </c>
      <c r="D140" s="41"/>
      <c r="E140" s="41"/>
    </row>
    <row r="141" spans="1:5" ht="14.5" x14ac:dyDescent="0.35">
      <c r="A141" s="33" t="s">
        <v>273</v>
      </c>
      <c r="B141" s="33" t="s">
        <v>274</v>
      </c>
      <c r="C141" s="33" t="s">
        <v>672</v>
      </c>
      <c r="D141" s="41"/>
      <c r="E141" s="41"/>
    </row>
    <row r="142" spans="1:5" ht="14.5" x14ac:dyDescent="0.35">
      <c r="A142" s="33" t="s">
        <v>275</v>
      </c>
      <c r="B142" s="33" t="s">
        <v>276</v>
      </c>
      <c r="C142" s="33" t="s">
        <v>673</v>
      </c>
      <c r="D142" s="41"/>
      <c r="E142" s="41"/>
    </row>
    <row r="143" spans="1:5" ht="14.5" x14ac:dyDescent="0.35">
      <c r="A143" s="33" t="s">
        <v>277</v>
      </c>
      <c r="B143" s="33" t="s">
        <v>278</v>
      </c>
      <c r="C143" s="33" t="s">
        <v>674</v>
      </c>
      <c r="D143" s="41"/>
      <c r="E143" s="41"/>
    </row>
    <row r="144" spans="1:5" ht="14.5" x14ac:dyDescent="0.35">
      <c r="A144" s="33" t="s">
        <v>279</v>
      </c>
      <c r="B144" s="33" t="s">
        <v>280</v>
      </c>
      <c r="C144" s="33" t="s">
        <v>280</v>
      </c>
      <c r="D144" s="41"/>
      <c r="E144" s="41"/>
    </row>
    <row r="145" spans="1:5" ht="14.5" x14ac:dyDescent="0.35">
      <c r="A145" s="33" t="s">
        <v>281</v>
      </c>
      <c r="B145" s="33" t="s">
        <v>282</v>
      </c>
      <c r="C145" s="33" t="s">
        <v>675</v>
      </c>
      <c r="D145" s="41"/>
      <c r="E145" s="41"/>
    </row>
    <row r="146" spans="1:5" ht="14.5" x14ac:dyDescent="0.35">
      <c r="A146" s="33" t="s">
        <v>283</v>
      </c>
      <c r="B146" s="33" t="s">
        <v>284</v>
      </c>
      <c r="C146" s="33" t="s">
        <v>284</v>
      </c>
      <c r="D146" s="41"/>
      <c r="E146" s="41"/>
    </row>
    <row r="147" spans="1:5" ht="14.5" x14ac:dyDescent="0.35">
      <c r="A147" s="33" t="s">
        <v>285</v>
      </c>
      <c r="B147" s="33" t="s">
        <v>286</v>
      </c>
      <c r="C147" s="33" t="s">
        <v>286</v>
      </c>
      <c r="D147" s="41"/>
      <c r="E147" s="41"/>
    </row>
    <row r="148" spans="1:5" ht="14.5" x14ac:dyDescent="0.35">
      <c r="A148" s="33" t="s">
        <v>287</v>
      </c>
      <c r="B148" s="33" t="s">
        <v>288</v>
      </c>
      <c r="C148" s="33" t="s">
        <v>676</v>
      </c>
      <c r="D148" s="41"/>
      <c r="E148" s="41"/>
    </row>
    <row r="149" spans="1:5" ht="14.5" x14ac:dyDescent="0.35">
      <c r="A149" s="33" t="s">
        <v>289</v>
      </c>
      <c r="B149" s="33" t="s">
        <v>290</v>
      </c>
      <c r="C149" s="33" t="s">
        <v>677</v>
      </c>
      <c r="D149" s="41"/>
      <c r="E149" s="41"/>
    </row>
    <row r="150" spans="1:5" ht="14.5" x14ac:dyDescent="0.35">
      <c r="A150" s="33" t="s">
        <v>291</v>
      </c>
      <c r="B150" s="33" t="s">
        <v>292</v>
      </c>
      <c r="C150" s="33" t="s">
        <v>292</v>
      </c>
      <c r="D150" s="41"/>
      <c r="E150" s="41"/>
    </row>
    <row r="151" spans="1:5" ht="14.5" x14ac:dyDescent="0.35">
      <c r="A151" s="33" t="s">
        <v>565</v>
      </c>
      <c r="B151" s="33" t="s">
        <v>566</v>
      </c>
      <c r="C151" s="33" t="s">
        <v>678</v>
      </c>
      <c r="D151" s="41"/>
      <c r="E151" s="41"/>
    </row>
    <row r="152" spans="1:5" ht="14.5" x14ac:dyDescent="0.35">
      <c r="A152" s="33" t="s">
        <v>293</v>
      </c>
      <c r="B152" s="33" t="s">
        <v>294</v>
      </c>
      <c r="C152" s="33" t="s">
        <v>294</v>
      </c>
      <c r="D152" s="41"/>
      <c r="E152" s="41"/>
    </row>
    <row r="153" spans="1:5" ht="14.5" x14ac:dyDescent="0.35">
      <c r="A153" s="33" t="s">
        <v>295</v>
      </c>
      <c r="B153" s="33" t="s">
        <v>296</v>
      </c>
      <c r="C153" s="33" t="s">
        <v>679</v>
      </c>
      <c r="D153" s="41"/>
      <c r="E153" s="41"/>
    </row>
    <row r="154" spans="1:5" ht="14.5" x14ac:dyDescent="0.35">
      <c r="A154" s="33" t="s">
        <v>297</v>
      </c>
      <c r="B154" s="33" t="s">
        <v>298</v>
      </c>
      <c r="C154" s="33" t="s">
        <v>298</v>
      </c>
      <c r="D154" s="41"/>
      <c r="E154" s="41"/>
    </row>
    <row r="155" spans="1:5" ht="14.5" x14ac:dyDescent="0.35">
      <c r="A155" s="33" t="s">
        <v>299</v>
      </c>
      <c r="B155" s="33" t="s">
        <v>300</v>
      </c>
      <c r="C155" s="33" t="s">
        <v>300</v>
      </c>
      <c r="D155" s="41"/>
      <c r="E155" s="41"/>
    </row>
    <row r="156" spans="1:5" ht="14.5" x14ac:dyDescent="0.35">
      <c r="A156" s="33" t="s">
        <v>301</v>
      </c>
      <c r="B156" s="33" t="s">
        <v>302</v>
      </c>
      <c r="C156" s="33" t="s">
        <v>680</v>
      </c>
      <c r="D156" s="41"/>
      <c r="E156" s="41"/>
    </row>
    <row r="157" spans="1:5" ht="14.5" x14ac:dyDescent="0.35">
      <c r="A157" s="33" t="s">
        <v>303</v>
      </c>
      <c r="B157" s="33" t="s">
        <v>304</v>
      </c>
      <c r="C157" s="33" t="s">
        <v>304</v>
      </c>
      <c r="D157" s="41"/>
      <c r="E157" s="41"/>
    </row>
    <row r="158" spans="1:5" ht="14.5" x14ac:dyDescent="0.35">
      <c r="A158" s="33" t="s">
        <v>305</v>
      </c>
      <c r="B158" s="33" t="s">
        <v>306</v>
      </c>
      <c r="C158" s="33" t="s">
        <v>306</v>
      </c>
      <c r="D158" s="41"/>
      <c r="E158" s="41"/>
    </row>
    <row r="159" spans="1:5" ht="14.5" x14ac:dyDescent="0.35">
      <c r="A159" s="33" t="s">
        <v>567</v>
      </c>
      <c r="B159" s="33" t="s">
        <v>568</v>
      </c>
      <c r="C159" s="33" t="s">
        <v>681</v>
      </c>
      <c r="D159" s="41"/>
      <c r="E159" s="41"/>
    </row>
    <row r="160" spans="1:5" ht="14.5" x14ac:dyDescent="0.35">
      <c r="A160" s="33" t="s">
        <v>569</v>
      </c>
      <c r="B160" s="33" t="s">
        <v>570</v>
      </c>
      <c r="C160" s="33" t="s">
        <v>682</v>
      </c>
      <c r="D160" s="41"/>
      <c r="E160" s="41"/>
    </row>
    <row r="161" spans="1:5" ht="14.5" x14ac:dyDescent="0.35">
      <c r="A161" s="33" t="s">
        <v>307</v>
      </c>
      <c r="B161" s="33" t="s">
        <v>308</v>
      </c>
      <c r="C161" s="33" t="s">
        <v>683</v>
      </c>
      <c r="D161" s="41"/>
      <c r="E161" s="41"/>
    </row>
    <row r="162" spans="1:5" ht="14.5" x14ac:dyDescent="0.35">
      <c r="A162" s="33" t="s">
        <v>571</v>
      </c>
      <c r="B162" s="33" t="s">
        <v>572</v>
      </c>
      <c r="C162" s="33" t="s">
        <v>684</v>
      </c>
      <c r="D162" s="41"/>
      <c r="E162" s="41"/>
    </row>
    <row r="163" spans="1:5" ht="14.5" x14ac:dyDescent="0.35">
      <c r="A163" s="33" t="s">
        <v>309</v>
      </c>
      <c r="B163" s="33" t="s">
        <v>310</v>
      </c>
      <c r="C163" s="33" t="s">
        <v>685</v>
      </c>
      <c r="D163" s="41"/>
      <c r="E163" s="41"/>
    </row>
    <row r="164" spans="1:5" ht="14.5" x14ac:dyDescent="0.35">
      <c r="A164" s="33" t="s">
        <v>311</v>
      </c>
      <c r="B164" s="33" t="s">
        <v>312</v>
      </c>
      <c r="C164" s="33" t="s">
        <v>312</v>
      </c>
      <c r="D164" s="41"/>
      <c r="E164" s="41"/>
    </row>
    <row r="165" spans="1:5" ht="14.5" x14ac:dyDescent="0.35">
      <c r="A165" s="33" t="s">
        <v>313</v>
      </c>
      <c r="B165" s="33" t="s">
        <v>314</v>
      </c>
      <c r="C165" s="33" t="s">
        <v>314</v>
      </c>
      <c r="D165" s="41"/>
      <c r="E165" s="41"/>
    </row>
    <row r="166" spans="1:5" ht="14.5" x14ac:dyDescent="0.35">
      <c r="A166" s="33" t="s">
        <v>315</v>
      </c>
      <c r="B166" s="33" t="s">
        <v>316</v>
      </c>
      <c r="C166" s="33" t="s">
        <v>316</v>
      </c>
      <c r="D166" s="41"/>
      <c r="E166" s="41"/>
    </row>
    <row r="167" spans="1:5" ht="14.5" x14ac:dyDescent="0.35">
      <c r="A167" s="33" t="s">
        <v>317</v>
      </c>
      <c r="B167" s="33" t="s">
        <v>318</v>
      </c>
      <c r="C167" s="33" t="s">
        <v>686</v>
      </c>
      <c r="D167" s="41"/>
      <c r="E167" s="41"/>
    </row>
    <row r="168" spans="1:5" ht="14.5" x14ac:dyDescent="0.35">
      <c r="A168" s="33" t="s">
        <v>319</v>
      </c>
      <c r="B168" s="33" t="s">
        <v>320</v>
      </c>
      <c r="C168" s="33" t="s">
        <v>320</v>
      </c>
      <c r="D168" s="41"/>
      <c r="E168" s="41"/>
    </row>
    <row r="169" spans="1:5" ht="14.5" x14ac:dyDescent="0.35">
      <c r="A169" s="33" t="s">
        <v>321</v>
      </c>
      <c r="B169" s="33" t="s">
        <v>322</v>
      </c>
      <c r="C169" s="33" t="s">
        <v>322</v>
      </c>
      <c r="D169" s="41"/>
      <c r="E169" s="41"/>
    </row>
    <row r="170" spans="1:5" ht="14.5" x14ac:dyDescent="0.35">
      <c r="A170" s="33" t="s">
        <v>323</v>
      </c>
      <c r="B170" s="33" t="s">
        <v>324</v>
      </c>
      <c r="C170" s="33" t="s">
        <v>687</v>
      </c>
      <c r="D170" s="41"/>
      <c r="E170" s="41"/>
    </row>
    <row r="171" spans="1:5" ht="14.5" x14ac:dyDescent="0.35">
      <c r="A171" s="33" t="s">
        <v>325</v>
      </c>
      <c r="B171" s="33" t="s">
        <v>326</v>
      </c>
      <c r="C171" s="33" t="s">
        <v>326</v>
      </c>
      <c r="D171" s="41"/>
      <c r="E171" s="41"/>
    </row>
    <row r="172" spans="1:5" ht="14.5" x14ac:dyDescent="0.35">
      <c r="A172" s="33" t="s">
        <v>327</v>
      </c>
      <c r="B172" s="33" t="s">
        <v>328</v>
      </c>
      <c r="C172" s="33" t="s">
        <v>688</v>
      </c>
      <c r="D172" s="41"/>
      <c r="E172" s="41"/>
    </row>
    <row r="173" spans="1:5" ht="14.5" x14ac:dyDescent="0.35">
      <c r="A173" s="33" t="s">
        <v>329</v>
      </c>
      <c r="B173" s="33" t="s">
        <v>330</v>
      </c>
      <c r="C173" s="33" t="s">
        <v>330</v>
      </c>
      <c r="D173" s="41"/>
      <c r="E173" s="41"/>
    </row>
    <row r="174" spans="1:5" ht="14.5" x14ac:dyDescent="0.35">
      <c r="A174" s="33" t="s">
        <v>331</v>
      </c>
      <c r="B174" s="33" t="s">
        <v>332</v>
      </c>
      <c r="C174" s="33" t="s">
        <v>332</v>
      </c>
      <c r="D174" s="41"/>
      <c r="E174" s="41"/>
    </row>
    <row r="175" spans="1:5" ht="14.5" x14ac:dyDescent="0.35">
      <c r="A175" s="33" t="s">
        <v>333</v>
      </c>
      <c r="B175" s="33" t="s">
        <v>334</v>
      </c>
      <c r="C175" s="33" t="s">
        <v>689</v>
      </c>
      <c r="D175" s="41"/>
      <c r="E175" s="41"/>
    </row>
    <row r="176" spans="1:5" ht="14.5" x14ac:dyDescent="0.35">
      <c r="A176" s="33" t="s">
        <v>335</v>
      </c>
      <c r="B176" s="33" t="s">
        <v>336</v>
      </c>
      <c r="C176" s="33" t="s">
        <v>690</v>
      </c>
      <c r="D176" s="41"/>
      <c r="E176" s="41"/>
    </row>
    <row r="177" spans="1:5" ht="14.5" x14ac:dyDescent="0.35">
      <c r="A177" s="33" t="s">
        <v>337</v>
      </c>
      <c r="B177" s="33" t="s">
        <v>338</v>
      </c>
      <c r="C177" s="33" t="s">
        <v>691</v>
      </c>
      <c r="D177" s="41"/>
      <c r="E177" s="41"/>
    </row>
    <row r="178" spans="1:5" ht="14.5" x14ac:dyDescent="0.35">
      <c r="A178" s="33" t="s">
        <v>339</v>
      </c>
      <c r="B178" s="33" t="s">
        <v>340</v>
      </c>
      <c r="C178" s="33" t="s">
        <v>692</v>
      </c>
      <c r="D178" s="41"/>
      <c r="E178" s="41"/>
    </row>
    <row r="179" spans="1:5" ht="14.5" x14ac:dyDescent="0.35">
      <c r="A179" s="33" t="s">
        <v>341</v>
      </c>
      <c r="B179" s="33" t="s">
        <v>342</v>
      </c>
      <c r="C179" s="33" t="s">
        <v>693</v>
      </c>
      <c r="D179" s="41"/>
      <c r="E179" s="41"/>
    </row>
    <row r="180" spans="1:5" ht="14.5" x14ac:dyDescent="0.35">
      <c r="A180" s="33" t="s">
        <v>343</v>
      </c>
      <c r="B180" s="33" t="s">
        <v>344</v>
      </c>
      <c r="C180" s="33" t="s">
        <v>694</v>
      </c>
      <c r="D180" s="41"/>
      <c r="E180" s="41"/>
    </row>
    <row r="181" spans="1:5" ht="14.5" x14ac:dyDescent="0.35">
      <c r="A181" s="33" t="s">
        <v>345</v>
      </c>
      <c r="B181" s="33" t="s">
        <v>346</v>
      </c>
      <c r="C181" s="33" t="s">
        <v>695</v>
      </c>
      <c r="D181" s="41"/>
      <c r="E181" s="41"/>
    </row>
    <row r="182" spans="1:5" ht="14.5" x14ac:dyDescent="0.35">
      <c r="A182" s="33" t="s">
        <v>347</v>
      </c>
      <c r="B182" s="33" t="s">
        <v>348</v>
      </c>
      <c r="C182" s="33" t="s">
        <v>348</v>
      </c>
      <c r="D182" s="41"/>
      <c r="E182" s="41"/>
    </row>
    <row r="183" spans="1:5" ht="14.5" x14ac:dyDescent="0.35">
      <c r="A183" s="33" t="s">
        <v>349</v>
      </c>
      <c r="B183" s="33" t="s">
        <v>350</v>
      </c>
      <c r="C183" s="33" t="s">
        <v>696</v>
      </c>
      <c r="D183" s="41"/>
      <c r="E183" s="41"/>
    </row>
    <row r="184" spans="1:5" ht="14.5" x14ac:dyDescent="0.35">
      <c r="A184" s="33" t="s">
        <v>351</v>
      </c>
      <c r="B184" s="33" t="s">
        <v>352</v>
      </c>
      <c r="C184" s="33" t="s">
        <v>352</v>
      </c>
      <c r="D184" s="41"/>
      <c r="E184" s="41"/>
    </row>
    <row r="185" spans="1:5" ht="14.5" x14ac:dyDescent="0.35">
      <c r="A185" s="33" t="s">
        <v>353</v>
      </c>
      <c r="B185" s="33" t="s">
        <v>354</v>
      </c>
      <c r="C185" s="33" t="s">
        <v>697</v>
      </c>
      <c r="D185" s="41"/>
      <c r="E185" s="41"/>
    </row>
    <row r="186" spans="1:5" ht="14.5" x14ac:dyDescent="0.35">
      <c r="A186" s="33" t="s">
        <v>355</v>
      </c>
      <c r="B186" s="33" t="s">
        <v>356</v>
      </c>
      <c r="C186" s="33" t="s">
        <v>698</v>
      </c>
      <c r="D186" s="41"/>
      <c r="E186" s="41"/>
    </row>
    <row r="187" spans="1:5" ht="14.5" x14ac:dyDescent="0.35">
      <c r="A187" s="33" t="s">
        <v>357</v>
      </c>
      <c r="B187" s="33" t="s">
        <v>358</v>
      </c>
      <c r="C187" s="33" t="s">
        <v>358</v>
      </c>
      <c r="D187" s="41"/>
      <c r="E187" s="41"/>
    </row>
    <row r="188" spans="1:5" ht="14.5" x14ac:dyDescent="0.35">
      <c r="A188" s="33" t="s">
        <v>359</v>
      </c>
      <c r="B188" s="33" t="s">
        <v>360</v>
      </c>
      <c r="C188" s="33" t="s">
        <v>360</v>
      </c>
      <c r="D188" s="41"/>
      <c r="E188" s="41"/>
    </row>
    <row r="189" spans="1:5" ht="14.5" x14ac:dyDescent="0.35">
      <c r="A189" s="33" t="s">
        <v>361</v>
      </c>
      <c r="B189" s="33" t="s">
        <v>362</v>
      </c>
      <c r="C189" s="33" t="s">
        <v>699</v>
      </c>
      <c r="D189" s="41"/>
      <c r="E189" s="41"/>
    </row>
    <row r="190" spans="1:5" ht="14.5" x14ac:dyDescent="0.35">
      <c r="A190" s="33" t="s">
        <v>363</v>
      </c>
      <c r="B190" s="33" t="s">
        <v>364</v>
      </c>
      <c r="C190" s="33" t="s">
        <v>700</v>
      </c>
      <c r="D190" s="41"/>
      <c r="E190" s="41"/>
    </row>
    <row r="191" spans="1:5" ht="14.5" x14ac:dyDescent="0.35">
      <c r="A191" s="33" t="s">
        <v>365</v>
      </c>
      <c r="B191" s="33" t="s">
        <v>366</v>
      </c>
      <c r="C191" s="33" t="s">
        <v>366</v>
      </c>
      <c r="D191" s="41"/>
      <c r="E191" s="41"/>
    </row>
    <row r="192" spans="1:5" ht="14.5" x14ac:dyDescent="0.35">
      <c r="A192" s="33" t="s">
        <v>367</v>
      </c>
      <c r="B192" s="33" t="s">
        <v>368</v>
      </c>
      <c r="C192" s="33" t="s">
        <v>701</v>
      </c>
      <c r="D192" s="41"/>
      <c r="E192" s="41"/>
    </row>
    <row r="193" spans="1:5" ht="14.5" x14ac:dyDescent="0.35">
      <c r="A193" s="33" t="s">
        <v>369</v>
      </c>
      <c r="B193" s="33" t="s">
        <v>370</v>
      </c>
      <c r="C193" s="33" t="s">
        <v>370</v>
      </c>
      <c r="D193" s="41"/>
      <c r="E193" s="41"/>
    </row>
    <row r="194" spans="1:5" ht="14.5" x14ac:dyDescent="0.35">
      <c r="A194" s="33" t="s">
        <v>371</v>
      </c>
      <c r="B194" s="33" t="s">
        <v>372</v>
      </c>
      <c r="C194" s="33" t="s">
        <v>372</v>
      </c>
      <c r="D194" s="41"/>
      <c r="E194" s="41"/>
    </row>
    <row r="195" spans="1:5" ht="14.5" x14ac:dyDescent="0.35">
      <c r="A195" s="33" t="s">
        <v>373</v>
      </c>
      <c r="B195" s="33" t="s">
        <v>374</v>
      </c>
      <c r="C195" s="33" t="s">
        <v>702</v>
      </c>
      <c r="D195" s="41"/>
      <c r="E195" s="41"/>
    </row>
    <row r="196" spans="1:5" ht="14.5" x14ac:dyDescent="0.35">
      <c r="A196" s="33" t="s">
        <v>375</v>
      </c>
      <c r="B196" s="33" t="s">
        <v>376</v>
      </c>
      <c r="C196" s="33" t="s">
        <v>703</v>
      </c>
      <c r="D196" s="41"/>
      <c r="E196" s="41"/>
    </row>
    <row r="197" spans="1:5" ht="14.5" x14ac:dyDescent="0.35">
      <c r="A197" s="33" t="s">
        <v>377</v>
      </c>
      <c r="B197" s="33" t="s">
        <v>378</v>
      </c>
      <c r="C197" s="33" t="s">
        <v>704</v>
      </c>
      <c r="D197" s="41"/>
      <c r="E197" s="41"/>
    </row>
    <row r="198" spans="1:5" ht="14.5" x14ac:dyDescent="0.35">
      <c r="A198" s="33" t="s">
        <v>379</v>
      </c>
      <c r="B198" s="33" t="s">
        <v>380</v>
      </c>
      <c r="C198" s="33" t="s">
        <v>380</v>
      </c>
      <c r="D198" s="41"/>
      <c r="E198" s="41"/>
    </row>
    <row r="199" spans="1:5" ht="14.5" x14ac:dyDescent="0.35">
      <c r="A199" s="33" t="s">
        <v>381</v>
      </c>
      <c r="B199" s="33" t="s">
        <v>382</v>
      </c>
      <c r="C199" s="33" t="s">
        <v>382</v>
      </c>
      <c r="D199" s="41"/>
      <c r="E199" s="41"/>
    </row>
    <row r="200" spans="1:5" ht="14.5" x14ac:dyDescent="0.35">
      <c r="A200" s="33" t="s">
        <v>383</v>
      </c>
      <c r="B200" s="33" t="s">
        <v>384</v>
      </c>
      <c r="C200" s="33" t="s">
        <v>384</v>
      </c>
      <c r="D200" s="41"/>
      <c r="E200" s="41"/>
    </row>
    <row r="201" spans="1:5" ht="14.5" x14ac:dyDescent="0.35">
      <c r="A201" s="33" t="s">
        <v>385</v>
      </c>
      <c r="B201" s="33" t="s">
        <v>386</v>
      </c>
      <c r="C201" s="33" t="s">
        <v>386</v>
      </c>
      <c r="D201" s="41"/>
      <c r="E201" s="41"/>
    </row>
    <row r="202" spans="1:5" ht="14.5" x14ac:dyDescent="0.35">
      <c r="A202" s="33" t="s">
        <v>387</v>
      </c>
      <c r="B202" s="33" t="s">
        <v>388</v>
      </c>
      <c r="C202" s="33" t="s">
        <v>388</v>
      </c>
      <c r="D202" s="41"/>
      <c r="E202" s="41"/>
    </row>
    <row r="203" spans="1:5" ht="14.5" x14ac:dyDescent="0.35">
      <c r="A203" s="33" t="s">
        <v>389</v>
      </c>
      <c r="B203" s="33" t="s">
        <v>390</v>
      </c>
      <c r="C203" s="33" t="s">
        <v>705</v>
      </c>
      <c r="D203" s="41"/>
      <c r="E203" s="41"/>
    </row>
    <row r="204" spans="1:5" ht="14.5" x14ac:dyDescent="0.35">
      <c r="A204" s="33" t="s">
        <v>391</v>
      </c>
      <c r="B204" s="33" t="s">
        <v>392</v>
      </c>
      <c r="C204" s="33" t="s">
        <v>392</v>
      </c>
      <c r="D204" s="41"/>
      <c r="E204" s="41"/>
    </row>
    <row r="205" spans="1:5" ht="14.5" x14ac:dyDescent="0.35">
      <c r="A205" s="33" t="s">
        <v>393</v>
      </c>
      <c r="B205" s="33" t="s">
        <v>394</v>
      </c>
      <c r="C205" s="33" t="s">
        <v>706</v>
      </c>
      <c r="D205" s="41"/>
      <c r="E205" s="41"/>
    </row>
    <row r="206" spans="1:5" ht="14.5" x14ac:dyDescent="0.35">
      <c r="A206" s="33" t="s">
        <v>395</v>
      </c>
      <c r="B206" s="33" t="s">
        <v>396</v>
      </c>
      <c r="C206" s="33" t="s">
        <v>707</v>
      </c>
      <c r="D206" s="41"/>
      <c r="E206" s="41"/>
    </row>
    <row r="207" spans="1:5" ht="14.5" x14ac:dyDescent="0.35">
      <c r="A207" s="33" t="s">
        <v>397</v>
      </c>
      <c r="B207" s="33" t="s">
        <v>398</v>
      </c>
      <c r="C207" s="33" t="s">
        <v>398</v>
      </c>
      <c r="D207" s="41"/>
      <c r="E207" s="41"/>
    </row>
    <row r="208" spans="1:5" ht="14.5" x14ac:dyDescent="0.35">
      <c r="A208" s="33" t="s">
        <v>399</v>
      </c>
      <c r="B208" s="33" t="s">
        <v>400</v>
      </c>
      <c r="C208" s="33" t="s">
        <v>708</v>
      </c>
      <c r="D208" s="41"/>
      <c r="E208" s="41"/>
    </row>
    <row r="209" spans="1:5" ht="14.5" x14ac:dyDescent="0.35">
      <c r="A209" s="33" t="s">
        <v>401</v>
      </c>
      <c r="B209" s="33" t="s">
        <v>402</v>
      </c>
      <c r="C209" s="33" t="s">
        <v>709</v>
      </c>
      <c r="D209" s="41"/>
      <c r="E209" s="41"/>
    </row>
    <row r="210" spans="1:5" ht="14.5" x14ac:dyDescent="0.35">
      <c r="A210" s="33" t="s">
        <v>403</v>
      </c>
      <c r="B210" s="33" t="s">
        <v>404</v>
      </c>
      <c r="C210" s="33" t="s">
        <v>710</v>
      </c>
      <c r="D210" s="41"/>
      <c r="E210" s="41"/>
    </row>
    <row r="211" spans="1:5" ht="14.5" x14ac:dyDescent="0.35">
      <c r="A211" s="33" t="s">
        <v>405</v>
      </c>
      <c r="B211" s="33" t="s">
        <v>406</v>
      </c>
      <c r="C211" s="33" t="s">
        <v>711</v>
      </c>
      <c r="D211" s="41"/>
      <c r="E211" s="41"/>
    </row>
    <row r="212" spans="1:5" ht="14.5" x14ac:dyDescent="0.35">
      <c r="A212" s="33" t="s">
        <v>407</v>
      </c>
      <c r="B212" s="33" t="s">
        <v>408</v>
      </c>
      <c r="C212" s="33" t="s">
        <v>408</v>
      </c>
      <c r="D212" s="41"/>
      <c r="E212" s="41"/>
    </row>
    <row r="213" spans="1:5" ht="14.5" x14ac:dyDescent="0.35">
      <c r="A213" s="33" t="s">
        <v>409</v>
      </c>
      <c r="B213" s="33" t="s">
        <v>410</v>
      </c>
      <c r="C213" s="33" t="s">
        <v>712</v>
      </c>
      <c r="D213" s="41"/>
      <c r="E213" s="41"/>
    </row>
    <row r="214" spans="1:5" ht="14.5" x14ac:dyDescent="0.35">
      <c r="A214" s="33" t="s">
        <v>411</v>
      </c>
      <c r="B214" s="33" t="s">
        <v>412</v>
      </c>
      <c r="C214" s="33" t="s">
        <v>713</v>
      </c>
      <c r="D214" s="41"/>
      <c r="E214" s="41"/>
    </row>
    <row r="215" spans="1:5" ht="14.5" x14ac:dyDescent="0.35">
      <c r="A215" s="33" t="s">
        <v>413</v>
      </c>
      <c r="B215" s="33" t="s">
        <v>414</v>
      </c>
      <c r="C215" s="33" t="s">
        <v>414</v>
      </c>
      <c r="D215" s="41"/>
      <c r="E215" s="41"/>
    </row>
    <row r="216" spans="1:5" ht="14.5" x14ac:dyDescent="0.35">
      <c r="A216" s="33" t="s">
        <v>415</v>
      </c>
      <c r="B216" s="33" t="s">
        <v>416</v>
      </c>
      <c r="C216" s="33" t="s">
        <v>416</v>
      </c>
      <c r="D216" s="41"/>
      <c r="E216" s="41"/>
    </row>
    <row r="217" spans="1:5" ht="14.5" x14ac:dyDescent="0.35">
      <c r="A217" s="33" t="s">
        <v>417</v>
      </c>
      <c r="B217" s="33" t="s">
        <v>418</v>
      </c>
      <c r="C217" s="33" t="s">
        <v>714</v>
      </c>
      <c r="D217" s="41"/>
      <c r="E217" s="41"/>
    </row>
    <row r="218" spans="1:5" ht="14.5" x14ac:dyDescent="0.35">
      <c r="A218" s="33" t="s">
        <v>419</v>
      </c>
      <c r="B218" s="33" t="s">
        <v>420</v>
      </c>
      <c r="C218" s="33" t="s">
        <v>715</v>
      </c>
      <c r="D218" s="41"/>
      <c r="E218" s="41"/>
    </row>
    <row r="219" spans="1:5" ht="14.5" x14ac:dyDescent="0.35">
      <c r="A219" s="33" t="s">
        <v>421</v>
      </c>
      <c r="B219" s="33" t="s">
        <v>422</v>
      </c>
      <c r="C219" s="33" t="s">
        <v>716</v>
      </c>
      <c r="D219" s="41"/>
      <c r="E219" s="41"/>
    </row>
    <row r="220" spans="1:5" ht="14.5" x14ac:dyDescent="0.35">
      <c r="A220" s="33" t="s">
        <v>423</v>
      </c>
      <c r="B220" s="33" t="s">
        <v>424</v>
      </c>
      <c r="C220" s="33" t="s">
        <v>717</v>
      </c>
      <c r="D220" s="41"/>
      <c r="E220" s="41"/>
    </row>
    <row r="221" spans="1:5" ht="14.5" x14ac:dyDescent="0.35">
      <c r="A221" s="33" t="s">
        <v>425</v>
      </c>
      <c r="B221" s="33" t="s">
        <v>426</v>
      </c>
      <c r="C221" s="33" t="s">
        <v>718</v>
      </c>
      <c r="D221" s="41"/>
      <c r="E221" s="41"/>
    </row>
    <row r="222" spans="1:5" ht="14.5" x14ac:dyDescent="0.35">
      <c r="A222" s="33" t="s">
        <v>427</v>
      </c>
      <c r="B222" s="33" t="s">
        <v>428</v>
      </c>
      <c r="C222" s="33" t="s">
        <v>428</v>
      </c>
      <c r="D222" s="41"/>
      <c r="E222" s="41"/>
    </row>
    <row r="223" spans="1:5" ht="14.5" x14ac:dyDescent="0.35">
      <c r="A223" s="33" t="s">
        <v>429</v>
      </c>
      <c r="B223" s="33" t="s">
        <v>430</v>
      </c>
      <c r="C223" s="33" t="s">
        <v>719</v>
      </c>
      <c r="D223" s="41"/>
      <c r="E223" s="41"/>
    </row>
    <row r="224" spans="1:5" ht="14.5" x14ac:dyDescent="0.35">
      <c r="A224" s="33" t="s">
        <v>431</v>
      </c>
      <c r="B224" s="33" t="s">
        <v>432</v>
      </c>
      <c r="C224" s="33" t="s">
        <v>720</v>
      </c>
      <c r="D224" s="41"/>
      <c r="E224" s="41"/>
    </row>
    <row r="225" spans="1:5" ht="14.5" x14ac:dyDescent="0.35">
      <c r="A225" s="33" t="s">
        <v>433</v>
      </c>
      <c r="B225" s="33" t="s">
        <v>434</v>
      </c>
      <c r="C225" s="33" t="s">
        <v>434</v>
      </c>
      <c r="D225" s="41"/>
      <c r="E225" s="41"/>
    </row>
    <row r="226" spans="1:5" ht="14.5" x14ac:dyDescent="0.35">
      <c r="A226" s="33" t="s">
        <v>435</v>
      </c>
      <c r="B226" s="33" t="s">
        <v>436</v>
      </c>
      <c r="C226" s="33" t="s">
        <v>721</v>
      </c>
      <c r="D226" s="41"/>
      <c r="E226" s="41"/>
    </row>
    <row r="227" spans="1:5" ht="14.5" x14ac:dyDescent="0.35">
      <c r="A227" s="33" t="s">
        <v>437</v>
      </c>
      <c r="B227" s="33" t="s">
        <v>438</v>
      </c>
      <c r="C227" s="33" t="s">
        <v>722</v>
      </c>
      <c r="D227" s="41"/>
      <c r="E227" s="41"/>
    </row>
    <row r="228" spans="1:5" ht="14.5" x14ac:dyDescent="0.35">
      <c r="A228" s="33" t="s">
        <v>439</v>
      </c>
      <c r="B228" s="33" t="s">
        <v>440</v>
      </c>
      <c r="C228" s="33" t="s">
        <v>723</v>
      </c>
      <c r="D228" s="41"/>
      <c r="E228" s="41"/>
    </row>
    <row r="229" spans="1:5" ht="14.5" x14ac:dyDescent="0.35">
      <c r="A229" s="33" t="s">
        <v>441</v>
      </c>
      <c r="B229" s="33" t="s">
        <v>442</v>
      </c>
      <c r="C229" s="33" t="s">
        <v>442</v>
      </c>
      <c r="D229" s="41"/>
      <c r="E229" s="41"/>
    </row>
    <row r="230" spans="1:5" ht="14.5" x14ac:dyDescent="0.35">
      <c r="A230" s="33" t="s">
        <v>443</v>
      </c>
      <c r="B230" s="33" t="s">
        <v>444</v>
      </c>
      <c r="C230" s="33" t="s">
        <v>444</v>
      </c>
      <c r="D230" s="41"/>
      <c r="E230" s="41"/>
    </row>
    <row r="231" spans="1:5" ht="14.5" x14ac:dyDescent="0.35">
      <c r="A231" s="33" t="s">
        <v>445</v>
      </c>
      <c r="B231" s="33" t="s">
        <v>446</v>
      </c>
      <c r="C231" s="33" t="s">
        <v>724</v>
      </c>
      <c r="D231" s="41"/>
      <c r="E231" s="41"/>
    </row>
    <row r="232" spans="1:5" ht="14.5" x14ac:dyDescent="0.35">
      <c r="A232" s="33" t="s">
        <v>447</v>
      </c>
      <c r="B232" s="33" t="s">
        <v>448</v>
      </c>
      <c r="C232" s="33" t="s">
        <v>725</v>
      </c>
      <c r="D232" s="41"/>
      <c r="E232" s="41"/>
    </row>
    <row r="233" spans="1:5" ht="14.5" x14ac:dyDescent="0.35">
      <c r="A233" s="33" t="s">
        <v>449</v>
      </c>
      <c r="B233" s="33" t="s">
        <v>450</v>
      </c>
      <c r="C233" s="33" t="s">
        <v>450</v>
      </c>
      <c r="D233" s="41"/>
      <c r="E233" s="41"/>
    </row>
    <row r="234" spans="1:5" ht="14.5" x14ac:dyDescent="0.35">
      <c r="A234" s="33" t="s">
        <v>451</v>
      </c>
      <c r="B234" s="33" t="s">
        <v>452</v>
      </c>
      <c r="C234" s="33" t="s">
        <v>452</v>
      </c>
      <c r="D234" s="41"/>
      <c r="E234" s="41"/>
    </row>
    <row r="235" spans="1:5" ht="14.5" x14ac:dyDescent="0.35">
      <c r="A235" s="33" t="s">
        <v>453</v>
      </c>
      <c r="B235" s="33" t="s">
        <v>454</v>
      </c>
      <c r="C235" s="33" t="s">
        <v>454</v>
      </c>
      <c r="D235" s="41"/>
      <c r="E235" s="41"/>
    </row>
    <row r="236" spans="1:5" ht="14.5" x14ac:dyDescent="0.35">
      <c r="A236" s="33" t="s">
        <v>455</v>
      </c>
      <c r="B236" s="33" t="s">
        <v>456</v>
      </c>
      <c r="C236" s="33" t="s">
        <v>726</v>
      </c>
      <c r="D236" s="41"/>
      <c r="E236" s="41"/>
    </row>
    <row r="237" spans="1:5" ht="14.5" x14ac:dyDescent="0.35">
      <c r="A237" s="33" t="s">
        <v>457</v>
      </c>
      <c r="B237" s="33" t="s">
        <v>458</v>
      </c>
      <c r="C237" s="33" t="s">
        <v>727</v>
      </c>
      <c r="D237" s="41"/>
      <c r="E237" s="41"/>
    </row>
    <row r="238" spans="1:5" ht="14.5" x14ac:dyDescent="0.35">
      <c r="A238" s="33" t="s">
        <v>459</v>
      </c>
      <c r="B238" s="33" t="s">
        <v>460</v>
      </c>
      <c r="C238" s="33" t="s">
        <v>728</v>
      </c>
      <c r="D238" s="41"/>
      <c r="E238" s="41"/>
    </row>
    <row r="239" spans="1:5" ht="14.5" x14ac:dyDescent="0.35">
      <c r="A239" s="33" t="s">
        <v>461</v>
      </c>
      <c r="B239" s="33" t="s">
        <v>462</v>
      </c>
      <c r="C239" s="33" t="s">
        <v>729</v>
      </c>
      <c r="D239" s="41"/>
      <c r="E239" s="41"/>
    </row>
    <row r="240" spans="1:5" ht="14.5" x14ac:dyDescent="0.35">
      <c r="A240" s="33" t="s">
        <v>463</v>
      </c>
      <c r="B240" s="33" t="s">
        <v>464</v>
      </c>
      <c r="C240" s="33" t="s">
        <v>464</v>
      </c>
      <c r="D240" s="41"/>
      <c r="E240" s="41"/>
    </row>
    <row r="241" spans="1:5" ht="14.5" x14ac:dyDescent="0.35">
      <c r="A241" s="33" t="s">
        <v>465</v>
      </c>
      <c r="B241" s="33" t="s">
        <v>466</v>
      </c>
      <c r="C241" s="33" t="s">
        <v>730</v>
      </c>
      <c r="D241" s="41"/>
      <c r="E241" s="41"/>
    </row>
    <row r="242" spans="1:5" ht="14.5" x14ac:dyDescent="0.35">
      <c r="A242" s="33" t="s">
        <v>467</v>
      </c>
      <c r="B242" s="33" t="s">
        <v>468</v>
      </c>
      <c r="C242" s="33" t="s">
        <v>468</v>
      </c>
      <c r="D242" s="41"/>
      <c r="E242" s="41"/>
    </row>
    <row r="243" spans="1:5" ht="14.5" x14ac:dyDescent="0.35">
      <c r="A243" s="33" t="s">
        <v>469</v>
      </c>
      <c r="B243" s="33" t="s">
        <v>470</v>
      </c>
      <c r="C243" s="33" t="s">
        <v>731</v>
      </c>
      <c r="D243" s="41"/>
      <c r="E243" s="41"/>
    </row>
    <row r="244" spans="1:5" ht="14.5" x14ac:dyDescent="0.35">
      <c r="A244" s="33" t="s">
        <v>471</v>
      </c>
      <c r="B244" s="33" t="s">
        <v>472</v>
      </c>
      <c r="C244" s="33" t="s">
        <v>732</v>
      </c>
      <c r="D244" s="41"/>
      <c r="E244" s="41"/>
    </row>
    <row r="245" spans="1:5" ht="14.5" x14ac:dyDescent="0.35">
      <c r="A245" s="33" t="s">
        <v>473</v>
      </c>
      <c r="B245" s="33" t="s">
        <v>474</v>
      </c>
      <c r="C245" s="33" t="s">
        <v>733</v>
      </c>
      <c r="D245" s="41"/>
      <c r="E245" s="41"/>
    </row>
    <row r="246" spans="1:5" ht="14.5" x14ac:dyDescent="0.35">
      <c r="A246" s="33" t="s">
        <v>475</v>
      </c>
      <c r="B246" s="33" t="s">
        <v>476</v>
      </c>
      <c r="C246" s="33" t="s">
        <v>734</v>
      </c>
      <c r="D246" s="41"/>
      <c r="E246" s="41"/>
    </row>
    <row r="247" spans="1:5" ht="14.5" x14ac:dyDescent="0.35">
      <c r="A247" s="33" t="s">
        <v>477</v>
      </c>
      <c r="B247" s="33" t="s">
        <v>478</v>
      </c>
      <c r="C247" s="33" t="s">
        <v>735</v>
      </c>
      <c r="D247" s="41"/>
      <c r="E247" s="41"/>
    </row>
    <row r="248" spans="1:5" ht="14.5" x14ac:dyDescent="0.35">
      <c r="A248" s="33" t="s">
        <v>479</v>
      </c>
      <c r="B248" s="33" t="s">
        <v>480</v>
      </c>
      <c r="C248" s="33" t="s">
        <v>736</v>
      </c>
      <c r="D248" s="41"/>
      <c r="E248" s="41"/>
    </row>
    <row r="249" spans="1:5" ht="14.5" x14ac:dyDescent="0.35">
      <c r="A249" s="33" t="s">
        <v>481</v>
      </c>
      <c r="B249" s="33" t="s">
        <v>482</v>
      </c>
      <c r="C249" s="33" t="s">
        <v>482</v>
      </c>
      <c r="D249" s="41"/>
      <c r="E249" s="41"/>
    </row>
    <row r="250" spans="1:5" ht="14.5" x14ac:dyDescent="0.35">
      <c r="A250" s="33" t="s">
        <v>483</v>
      </c>
      <c r="B250" s="33" t="s">
        <v>484</v>
      </c>
      <c r="C250" s="33" t="s">
        <v>737</v>
      </c>
      <c r="D250" s="41"/>
      <c r="E250" s="41"/>
    </row>
    <row r="251" spans="1:5" ht="14.5" x14ac:dyDescent="0.35">
      <c r="A251" s="33" t="s">
        <v>485</v>
      </c>
      <c r="B251" s="33" t="s">
        <v>486</v>
      </c>
      <c r="C251" s="33" t="s">
        <v>738</v>
      </c>
      <c r="D251" s="41"/>
      <c r="E251" s="41"/>
    </row>
    <row r="252" spans="1:5" ht="14.5" x14ac:dyDescent="0.35">
      <c r="A252" s="33" t="s">
        <v>487</v>
      </c>
      <c r="B252" s="33" t="s">
        <v>488</v>
      </c>
      <c r="C252" s="33" t="s">
        <v>739</v>
      </c>
      <c r="D252" s="41"/>
      <c r="E252" s="41"/>
    </row>
    <row r="253" spans="1:5" ht="14.5" x14ac:dyDescent="0.35">
      <c r="A253" s="33" t="s">
        <v>489</v>
      </c>
      <c r="B253" s="33" t="s">
        <v>490</v>
      </c>
      <c r="C253" s="33" t="s">
        <v>740</v>
      </c>
      <c r="D253" s="41"/>
      <c r="E253" s="41"/>
    </row>
    <row r="254" spans="1:5" ht="14.5" x14ac:dyDescent="0.35">
      <c r="A254" s="33" t="s">
        <v>491</v>
      </c>
      <c r="B254" s="33" t="s">
        <v>492</v>
      </c>
      <c r="C254" s="33" t="s">
        <v>741</v>
      </c>
      <c r="D254" s="41"/>
      <c r="E254" s="41"/>
    </row>
    <row r="255" spans="1:5" ht="14.5" x14ac:dyDescent="0.35">
      <c r="A255" s="33" t="s">
        <v>493</v>
      </c>
      <c r="B255" s="33" t="s">
        <v>494</v>
      </c>
      <c r="C255" s="33" t="s">
        <v>742</v>
      </c>
      <c r="D255" s="41"/>
      <c r="E255" s="41"/>
    </row>
    <row r="256" spans="1:5" ht="14.5" x14ac:dyDescent="0.35">
      <c r="A256" s="33" t="s">
        <v>495</v>
      </c>
      <c r="B256" s="33" t="s">
        <v>496</v>
      </c>
      <c r="C256" s="33" t="s">
        <v>743</v>
      </c>
      <c r="D256" s="41"/>
      <c r="E256" s="41"/>
    </row>
    <row r="257" spans="1:5" ht="14.5" x14ac:dyDescent="0.35">
      <c r="A257" s="33" t="s">
        <v>497</v>
      </c>
      <c r="B257" s="33" t="s">
        <v>573</v>
      </c>
      <c r="C257" s="33" t="s">
        <v>744</v>
      </c>
      <c r="D257" s="41"/>
      <c r="E257" s="41"/>
    </row>
    <row r="258" spans="1:5" ht="14.5" x14ac:dyDescent="0.35">
      <c r="A258" s="65" t="s">
        <v>764</v>
      </c>
      <c r="B258" s="33" t="s">
        <v>762</v>
      </c>
      <c r="C258" s="33" t="s">
        <v>765</v>
      </c>
      <c r="D258" s="41"/>
      <c r="E258" s="41"/>
    </row>
    <row r="259" spans="1:5" ht="14.5" x14ac:dyDescent="0.35">
      <c r="A259" s="33" t="s">
        <v>498</v>
      </c>
      <c r="B259" s="33" t="s">
        <v>499</v>
      </c>
      <c r="C259" s="33" t="s">
        <v>745</v>
      </c>
      <c r="D259" s="41"/>
      <c r="E259" s="41"/>
    </row>
    <row r="260" spans="1:5" ht="14.5" x14ac:dyDescent="0.35">
      <c r="A260" s="33" t="s">
        <v>500</v>
      </c>
      <c r="B260" s="33" t="s">
        <v>501</v>
      </c>
      <c r="C260" s="33" t="s">
        <v>746</v>
      </c>
      <c r="D260" s="41"/>
      <c r="E260" s="41"/>
    </row>
    <row r="261" spans="1:5" ht="14.5" x14ac:dyDescent="0.35">
      <c r="A261" s="33" t="s">
        <v>502</v>
      </c>
      <c r="B261" s="33" t="s">
        <v>503</v>
      </c>
      <c r="C261" s="33" t="s">
        <v>747</v>
      </c>
      <c r="D261" s="41"/>
      <c r="E261" s="41"/>
    </row>
    <row r="262" spans="1:5" ht="14.5" x14ac:dyDescent="0.35">
      <c r="D262" s="41"/>
      <c r="E262" s="41"/>
    </row>
    <row r="263" spans="1:5" ht="14.5" x14ac:dyDescent="0.35">
      <c r="D263" s="41"/>
      <c r="E263" s="41"/>
    </row>
    <row r="264" spans="1:5" ht="14.5" x14ac:dyDescent="0.35">
      <c r="D264" s="41"/>
      <c r="E264" s="41"/>
    </row>
    <row r="265" spans="1:5" ht="14.5" x14ac:dyDescent="0.35">
      <c r="D265" s="41"/>
      <c r="E265" s="41"/>
    </row>
    <row r="266" spans="1:5" ht="14.5" x14ac:dyDescent="0.35">
      <c r="D266" s="41"/>
      <c r="E266" s="4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32</vt:i4>
      </vt:variant>
    </vt:vector>
  </HeadingPairs>
  <TitlesOfParts>
    <vt:vector size="33" baseType="lpstr">
      <vt:lpstr>Dashboard</vt:lpstr>
      <vt:lpstr>Außenhandelspartner</vt:lpstr>
      <vt:lpstr>Auswahl_Jahr</vt:lpstr>
      <vt:lpstr>Basis_Jahr</vt:lpstr>
      <vt:lpstr>BIS</vt:lpstr>
      <vt:lpstr>Dashboard!Druckbereich</vt:lpstr>
      <vt:lpstr>Einheit_Text</vt:lpstr>
      <vt:lpstr>Einheit_Wert</vt:lpstr>
      <vt:lpstr>Export_Basis_Jahr</vt:lpstr>
      <vt:lpstr>Export_Jahreszahlen</vt:lpstr>
      <vt:lpstr>Export_Matrix</vt:lpstr>
      <vt:lpstr>Export_Partnerland</vt:lpstr>
      <vt:lpstr>Export_Ranking</vt:lpstr>
      <vt:lpstr>Export_Spaltenindex</vt:lpstr>
      <vt:lpstr>Import_Basis_Jahr</vt:lpstr>
      <vt:lpstr>Import_Jahreszahlen</vt:lpstr>
      <vt:lpstr>Import_Matrix</vt:lpstr>
      <vt:lpstr>Import_Partnerland</vt:lpstr>
      <vt:lpstr>Import_Ranking</vt:lpstr>
      <vt:lpstr>Import_Spaltenindex</vt:lpstr>
      <vt:lpstr>Kartentitel_absolut</vt:lpstr>
      <vt:lpstr>Kartentitel_Exportentwicklung</vt:lpstr>
      <vt:lpstr>Kartentitel_Importentwicklung</vt:lpstr>
      <vt:lpstr>Kartentitel_Veränderung</vt:lpstr>
      <vt:lpstr>Land_Wert</vt:lpstr>
      <vt:lpstr>Max_Jahr</vt:lpstr>
      <vt:lpstr>Metadata1</vt:lpstr>
      <vt:lpstr>Metadata2</vt:lpstr>
      <vt:lpstr>Metadata3</vt:lpstr>
      <vt:lpstr>Metadata4</vt:lpstr>
      <vt:lpstr>Metadata5</vt:lpstr>
      <vt:lpstr>Metadata6</vt:lpstr>
      <vt:lpstr>VON</vt:lpstr>
    </vt:vector>
  </TitlesOfParts>
  <Company>WKO Inhouse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Koller Christoph, MSc, WKÖ Statistik</dc:creator>
  <cp:lastModifiedBy>Koller Christoph | WKOE</cp:lastModifiedBy>
  <cp:lastPrinted>2018-01-05T09:11:57Z</cp:lastPrinted>
  <dcterms:created xsi:type="dcterms:W3CDTF">2009-09-08T10:55:18Z</dcterms:created>
  <dcterms:modified xsi:type="dcterms:W3CDTF">2024-03-12T14:49:38Z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-955372006</vt:i4>
  </property>
  <property fmtid="{D5CDD505-2E9C-101B-9397-08002B2CF9AE}" pid="4" name="_EmailSubject">
    <vt:lpwstr>Demografie-Check: Früherkennung und grafische Darstellung aktueller wie auch künftiger Personalprobleme</vt:lpwstr>
  </property>
  <property fmtid="{D5CDD505-2E9C-101B-9397-08002B2CF9AE}" pid="5" name="_AuthorEmail">
    <vt:lpwstr>Dirk.Kauffmann@wko.at</vt:lpwstr>
  </property>
  <property fmtid="{D5CDD505-2E9C-101B-9397-08002B2CF9AE}" pid="6" name="_AuthorEmailDisplayName">
    <vt:lpwstr>Kauffmann Dirk, Dipl.-Volksw. WKÖ Wp</vt:lpwstr>
  </property>
  <property fmtid="{D5CDD505-2E9C-101B-9397-08002B2CF9AE}" pid="7" name="_ReviewingToolsShownOnce">
    <vt:lpwstr/>
  </property>
</Properties>
</file>