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PridunC\Downloads\"/>
    </mc:Choice>
  </mc:AlternateContent>
  <xr:revisionPtr revIDLastSave="0" documentId="8_{96A4DD14-D0B1-44E6-B67D-A5DD767AE68D}" xr6:coauthVersionLast="47" xr6:coauthVersionMax="47" xr10:uidLastSave="{00000000-0000-0000-0000-000000000000}"/>
  <bookViews>
    <workbookView xWindow="-120" yWindow="-120" windowWidth="29040" windowHeight="15990" xr2:uid="{00000000-000D-0000-FFFF-FFFF00000000}"/>
  </bookViews>
  <sheets>
    <sheet name="Blitztarif Basis + Optional (2)" sheetId="8" r:id="rId1"/>
    <sheet name="Blitztarif Basis + Optional" sheetId="2" state="hidden" r:id="rId2"/>
    <sheet name="Tarif" sheetId="3" state="hidden" r:id="rId3"/>
  </sheets>
  <definedNames>
    <definedName name="_xlnm.Print_Area" localSheetId="0">'Blitztarif Basis + Optional (2)'!$A$1:$H$68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8" l="1"/>
  <c r="G15" i="8" s="1"/>
  <c r="E19" i="8" s="1"/>
  <c r="H27" i="2"/>
  <c r="H28" i="2"/>
  <c r="H29" i="2"/>
  <c r="H26" i="2"/>
  <c r="H18" i="2"/>
  <c r="H19" i="2"/>
  <c r="H20" i="2"/>
  <c r="H17" i="2"/>
  <c r="H9" i="2"/>
  <c r="H10" i="2"/>
  <c r="H11" i="2"/>
  <c r="H8" i="2"/>
  <c r="P4" i="2"/>
  <c r="E21" i="8" l="1"/>
  <c r="D19" i="8"/>
  <c r="D37" i="8"/>
  <c r="E29" i="8"/>
  <c r="E39" i="8"/>
  <c r="D29" i="8"/>
  <c r="D39" i="8"/>
  <c r="E31" i="8"/>
  <c r="D21" i="8"/>
  <c r="D31" i="8"/>
  <c r="E28" i="8"/>
  <c r="D28" i="8"/>
  <c r="E20" i="8"/>
  <c r="D38" i="8"/>
  <c r="E30" i="8"/>
  <c r="D20" i="8"/>
  <c r="E40" i="8"/>
  <c r="D30" i="8"/>
  <c r="E22" i="8"/>
  <c r="D40" i="8"/>
  <c r="E37" i="8"/>
  <c r="D22" i="8"/>
  <c r="E38" i="8"/>
  <c r="P20" i="2"/>
  <c r="B111" i="3"/>
  <c r="B110" i="3"/>
  <c r="B109" i="3"/>
  <c r="F108" i="3"/>
  <c r="F107" i="3"/>
  <c r="F106" i="3"/>
  <c r="F105" i="3"/>
  <c r="F104" i="3"/>
  <c r="F103" i="3"/>
  <c r="F102" i="3"/>
  <c r="F101" i="3"/>
  <c r="F100" i="3"/>
  <c r="F99" i="3"/>
  <c r="F98" i="3"/>
  <c r="F97" i="3"/>
  <c r="F96" i="3"/>
  <c r="F95" i="3"/>
  <c r="F94" i="3"/>
  <c r="F93" i="3"/>
  <c r="F92" i="3"/>
  <c r="F91" i="3"/>
  <c r="F90" i="3"/>
  <c r="F89" i="3"/>
  <c r="F88" i="3"/>
  <c r="O68" i="3"/>
  <c r="N68" i="3"/>
  <c r="K68" i="3"/>
  <c r="J68" i="3"/>
  <c r="G68" i="3"/>
  <c r="F68" i="3"/>
  <c r="D68" i="3"/>
  <c r="M68" i="3"/>
  <c r="O67" i="3"/>
  <c r="N67" i="3"/>
  <c r="K67" i="3"/>
  <c r="J67" i="3"/>
  <c r="G67" i="3"/>
  <c r="F67" i="3"/>
  <c r="D67" i="3"/>
  <c r="M67" i="3"/>
  <c r="O66" i="3"/>
  <c r="N66" i="3"/>
  <c r="K66" i="3"/>
  <c r="J66" i="3"/>
  <c r="G66" i="3"/>
  <c r="F66" i="3"/>
  <c r="D66" i="3"/>
  <c r="M66" i="3"/>
  <c r="O65" i="3"/>
  <c r="N65" i="3"/>
  <c r="K65" i="3"/>
  <c r="J65" i="3"/>
  <c r="G65" i="3"/>
  <c r="F65" i="3"/>
  <c r="D65" i="3"/>
  <c r="M65" i="3"/>
  <c r="O64" i="3"/>
  <c r="N64" i="3"/>
  <c r="K64" i="3"/>
  <c r="J64" i="3"/>
  <c r="G64" i="3"/>
  <c r="F64" i="3"/>
  <c r="D64" i="3"/>
  <c r="M64" i="3"/>
  <c r="O63" i="3"/>
  <c r="N63" i="3"/>
  <c r="K63" i="3"/>
  <c r="J63" i="3"/>
  <c r="G63" i="3"/>
  <c r="F63" i="3"/>
  <c r="D63" i="3"/>
  <c r="M63" i="3"/>
  <c r="O62" i="3"/>
  <c r="N62" i="3"/>
  <c r="K62" i="3"/>
  <c r="J62" i="3"/>
  <c r="G62" i="3"/>
  <c r="F62" i="3"/>
  <c r="D62" i="3"/>
  <c r="M62" i="3"/>
  <c r="O61" i="3"/>
  <c r="N61" i="3"/>
  <c r="K61" i="3"/>
  <c r="J61" i="3"/>
  <c r="G61" i="3"/>
  <c r="F61" i="3"/>
  <c r="D61" i="3"/>
  <c r="M61" i="3"/>
  <c r="O60" i="3"/>
  <c r="N60" i="3"/>
  <c r="K60" i="3"/>
  <c r="J60" i="3"/>
  <c r="G60" i="3"/>
  <c r="F60" i="3"/>
  <c r="L60" i="3" s="1"/>
  <c r="D60" i="3"/>
  <c r="M60" i="3"/>
  <c r="O59" i="3"/>
  <c r="N59" i="3"/>
  <c r="K59" i="3"/>
  <c r="J59" i="3"/>
  <c r="G59" i="3"/>
  <c r="F59" i="3"/>
  <c r="D59" i="3"/>
  <c r="M59" i="3"/>
  <c r="D49" i="3"/>
  <c r="H49" i="3" s="1"/>
  <c r="D48" i="3"/>
  <c r="M48" i="3" s="1"/>
  <c r="F47" i="3"/>
  <c r="D47" i="3"/>
  <c r="G47" i="3" s="1"/>
  <c r="N46" i="3"/>
  <c r="D46" i="3"/>
  <c r="E46" i="3" s="1"/>
  <c r="D45" i="3"/>
  <c r="H45" i="3" s="1"/>
  <c r="D44" i="3"/>
  <c r="I44" i="3" s="1"/>
  <c r="N43" i="3"/>
  <c r="K43" i="3"/>
  <c r="H43" i="3"/>
  <c r="G43" i="3"/>
  <c r="F43" i="3"/>
  <c r="L43" i="3" s="1"/>
  <c r="D43" i="3"/>
  <c r="N42" i="3"/>
  <c r="H42" i="3"/>
  <c r="G42" i="3"/>
  <c r="D42" i="3"/>
  <c r="D41" i="3"/>
  <c r="I41" i="3" s="1"/>
  <c r="D40" i="3"/>
  <c r="O30" i="3"/>
  <c r="N30" i="3"/>
  <c r="M30" i="3"/>
  <c r="K30" i="3"/>
  <c r="J30" i="3"/>
  <c r="I30" i="3"/>
  <c r="H30" i="3"/>
  <c r="G30" i="3"/>
  <c r="F30" i="3"/>
  <c r="E30" i="3"/>
  <c r="L30" i="3" s="1"/>
  <c r="O29" i="3"/>
  <c r="N29" i="3"/>
  <c r="M29" i="3"/>
  <c r="K29" i="3"/>
  <c r="J29" i="3"/>
  <c r="I29" i="3"/>
  <c r="H29" i="3"/>
  <c r="G29" i="3"/>
  <c r="L29" i="3" s="1"/>
  <c r="F29" i="3"/>
  <c r="E29" i="3"/>
  <c r="O28" i="3"/>
  <c r="N28" i="3"/>
  <c r="M28" i="3"/>
  <c r="K28" i="3"/>
  <c r="J28" i="3"/>
  <c r="I28" i="3"/>
  <c r="H28" i="3"/>
  <c r="G28" i="3"/>
  <c r="F28" i="3"/>
  <c r="E28" i="3"/>
  <c r="L28" i="3" s="1"/>
  <c r="O27" i="3"/>
  <c r="N27" i="3"/>
  <c r="M27" i="3"/>
  <c r="K27" i="3"/>
  <c r="J27" i="3"/>
  <c r="I27" i="3"/>
  <c r="H27" i="3"/>
  <c r="G27" i="3"/>
  <c r="F27" i="3"/>
  <c r="E27" i="3"/>
  <c r="L27" i="3" s="1"/>
  <c r="O26" i="3"/>
  <c r="N26" i="3"/>
  <c r="M26" i="3"/>
  <c r="K26" i="3"/>
  <c r="J26" i="3"/>
  <c r="I26" i="3"/>
  <c r="H26" i="3"/>
  <c r="G26" i="3"/>
  <c r="F26" i="3"/>
  <c r="E26" i="3"/>
  <c r="L26" i="3" s="1"/>
  <c r="O25" i="3"/>
  <c r="N25" i="3"/>
  <c r="M25" i="3"/>
  <c r="K25" i="3"/>
  <c r="J25" i="3"/>
  <c r="L25" i="3" s="1"/>
  <c r="I25" i="3"/>
  <c r="H25" i="3"/>
  <c r="G25" i="3"/>
  <c r="F25" i="3"/>
  <c r="E25" i="3"/>
  <c r="O24" i="3"/>
  <c r="N24" i="3"/>
  <c r="M24" i="3"/>
  <c r="K24" i="3"/>
  <c r="J24" i="3"/>
  <c r="I24" i="3"/>
  <c r="H24" i="3"/>
  <c r="G24" i="3"/>
  <c r="F24" i="3"/>
  <c r="L24" i="3" s="1"/>
  <c r="E24" i="3"/>
  <c r="O23" i="3"/>
  <c r="N23" i="3"/>
  <c r="M23" i="3"/>
  <c r="K23" i="3"/>
  <c r="J23" i="3"/>
  <c r="I23" i="3"/>
  <c r="H23" i="3"/>
  <c r="G23" i="3"/>
  <c r="F23" i="3"/>
  <c r="E23" i="3"/>
  <c r="L23" i="3" s="1"/>
  <c r="O22" i="3"/>
  <c r="N22" i="3"/>
  <c r="M22" i="3"/>
  <c r="K22" i="3"/>
  <c r="J22" i="3"/>
  <c r="I22" i="3"/>
  <c r="H22" i="3"/>
  <c r="G22" i="3"/>
  <c r="F22" i="3"/>
  <c r="E22" i="3"/>
  <c r="L22" i="3" s="1"/>
  <c r="O21" i="3"/>
  <c r="N21" i="3"/>
  <c r="M21" i="3"/>
  <c r="K21" i="3"/>
  <c r="J21" i="3"/>
  <c r="I21" i="3"/>
  <c r="H21" i="3"/>
  <c r="G21" i="3"/>
  <c r="F21" i="3"/>
  <c r="L21" i="3" s="1"/>
  <c r="E21" i="3"/>
  <c r="M40" i="3"/>
  <c r="I40" i="3"/>
  <c r="E40" i="3"/>
  <c r="J40" i="3"/>
  <c r="O40" i="3"/>
  <c r="M44" i="3"/>
  <c r="I48" i="3"/>
  <c r="E48" i="3"/>
  <c r="L48" i="3" s="1"/>
  <c r="J48" i="3"/>
  <c r="O48" i="3"/>
  <c r="F40" i="3"/>
  <c r="K40" i="3"/>
  <c r="M41" i="3"/>
  <c r="E41" i="3"/>
  <c r="J41" i="3"/>
  <c r="O41" i="3"/>
  <c r="J45" i="3"/>
  <c r="O45" i="3"/>
  <c r="F48" i="3"/>
  <c r="K48" i="3"/>
  <c r="G40" i="3"/>
  <c r="L40" i="3" s="1"/>
  <c r="F41" i="3"/>
  <c r="M42" i="3"/>
  <c r="I42" i="3"/>
  <c r="E42" i="3"/>
  <c r="L42" i="3" s="1"/>
  <c r="J42" i="3"/>
  <c r="O42" i="3"/>
  <c r="G44" i="3"/>
  <c r="M46" i="3"/>
  <c r="I46" i="3"/>
  <c r="J46" i="3"/>
  <c r="O46" i="3"/>
  <c r="G48" i="3"/>
  <c r="H40" i="3"/>
  <c r="N40" i="3"/>
  <c r="G41" i="3"/>
  <c r="F42" i="3"/>
  <c r="K42" i="3"/>
  <c r="M43" i="3"/>
  <c r="I43" i="3"/>
  <c r="E43" i="3"/>
  <c r="J43" i="3"/>
  <c r="O43" i="3"/>
  <c r="H44" i="3"/>
  <c r="N44" i="3"/>
  <c r="G45" i="3"/>
  <c r="J47" i="3"/>
  <c r="O47" i="3"/>
  <c r="H48" i="3"/>
  <c r="N48" i="3"/>
  <c r="H59" i="3"/>
  <c r="H60" i="3"/>
  <c r="H61" i="3"/>
  <c r="H62" i="3"/>
  <c r="H63" i="3"/>
  <c r="H64" i="3"/>
  <c r="H65" i="3"/>
  <c r="H66" i="3"/>
  <c r="H67" i="3"/>
  <c r="H68" i="3"/>
  <c r="E59" i="3"/>
  <c r="L59" i="3" s="1"/>
  <c r="I59" i="3"/>
  <c r="E60" i="3"/>
  <c r="I60" i="3"/>
  <c r="E61" i="3"/>
  <c r="L61" i="3" s="1"/>
  <c r="I61" i="3"/>
  <c r="E62" i="3"/>
  <c r="I62" i="3"/>
  <c r="E63" i="3"/>
  <c r="I63" i="3"/>
  <c r="E64" i="3"/>
  <c r="I64" i="3"/>
  <c r="E65" i="3"/>
  <c r="I65" i="3"/>
  <c r="E66" i="3"/>
  <c r="I66" i="3"/>
  <c r="E67" i="3"/>
  <c r="L67" i="3" s="1"/>
  <c r="I67" i="3"/>
  <c r="E68" i="3"/>
  <c r="L68" i="3" s="1"/>
  <c r="I68" i="3"/>
  <c r="L66" i="3"/>
  <c r="L64" i="3"/>
  <c r="L62" i="3"/>
  <c r="L65" i="3"/>
  <c r="L63" i="3"/>
  <c r="O8" i="2"/>
  <c r="P8" i="2" s="1"/>
  <c r="O29" i="2"/>
  <c r="P29" i="2" s="1"/>
  <c r="O28" i="2"/>
  <c r="P28" i="2" s="1"/>
  <c r="O27" i="2"/>
  <c r="P27" i="2" s="1"/>
  <c r="O26" i="2"/>
  <c r="P26" i="2" s="1"/>
  <c r="O20" i="2"/>
  <c r="O19" i="2"/>
  <c r="P19" i="2" s="1"/>
  <c r="O18" i="2"/>
  <c r="P18" i="2" s="1"/>
  <c r="O17" i="2"/>
  <c r="P17" i="2" s="1"/>
  <c r="O9" i="2"/>
  <c r="P9" i="2" s="1"/>
  <c r="O10" i="2"/>
  <c r="P10" i="2" s="1"/>
  <c r="O11" i="2"/>
  <c r="P11" i="2" s="1"/>
  <c r="D29" i="2"/>
  <c r="D28" i="2"/>
  <c r="D27" i="2"/>
  <c r="D26" i="2"/>
  <c r="D20" i="2"/>
  <c r="D19" i="2"/>
  <c r="D18" i="2"/>
  <c r="D17" i="2"/>
  <c r="F20" i="8" l="1"/>
  <c r="F31" i="8"/>
  <c r="F30" i="8"/>
  <c r="F22" i="8"/>
  <c r="F28" i="8"/>
  <c r="F38" i="8"/>
  <c r="F29" i="8"/>
  <c r="F37" i="8"/>
  <c r="F21" i="8"/>
  <c r="F39" i="8"/>
  <c r="F40" i="8"/>
  <c r="F19" i="8"/>
  <c r="K49" i="3"/>
  <c r="O49" i="3"/>
  <c r="I47" i="3"/>
  <c r="E49" i="3"/>
  <c r="L49" i="3" s="1"/>
  <c r="I45" i="3"/>
  <c r="O44" i="3"/>
  <c r="N45" i="3"/>
  <c r="H47" i="3"/>
  <c r="G49" i="3"/>
  <c r="M47" i="3"/>
  <c r="I49" i="3"/>
  <c r="M45" i="3"/>
  <c r="J44" i="3"/>
  <c r="H41" i="3"/>
  <c r="L41" i="3" s="1"/>
  <c r="K47" i="3"/>
  <c r="K46" i="3"/>
  <c r="N49" i="3"/>
  <c r="K45" i="3"/>
  <c r="M49" i="3"/>
  <c r="K44" i="3"/>
  <c r="E44" i="3"/>
  <c r="N41" i="3"/>
  <c r="G46" i="3"/>
  <c r="N47" i="3"/>
  <c r="F46" i="3"/>
  <c r="L46" i="3" s="1"/>
  <c r="F49" i="3"/>
  <c r="F45" i="3"/>
  <c r="K41" i="3"/>
  <c r="F44" i="3"/>
  <c r="H46" i="3"/>
  <c r="J49" i="3"/>
  <c r="E47" i="3"/>
  <c r="L47" i="3" s="1"/>
  <c r="E45" i="3"/>
  <c r="L44" i="3" l="1"/>
  <c r="L45" i="3"/>
</calcChain>
</file>

<file path=xl/sharedStrings.xml><?xml version="1.0" encoding="utf-8"?>
<sst xmlns="http://schemas.openxmlformats.org/spreadsheetml/2006/main" count="373" uniqueCount="146">
  <si>
    <t>Section 1-3&amp;7&amp;10</t>
  </si>
  <si>
    <t>Premium in USD</t>
  </si>
  <si>
    <t>Nahrungsmittel – Landwirtschaft</t>
  </si>
  <si>
    <t>IT – Hardware</t>
  </si>
  <si>
    <t>Produktion – Chemikalien</t>
  </si>
  <si>
    <t>Produktion – Arzneimittel</t>
  </si>
  <si>
    <t>Produktion – Sonstige Industriebranchen</t>
  </si>
  <si>
    <t>Sonstiges – Bauwesen</t>
  </si>
  <si>
    <t>Retail – hauptsächlich traditionell</t>
  </si>
  <si>
    <t>Services – professionelle Dienstleistungen (ohne IT)</t>
  </si>
  <si>
    <t>Transport und Logistik – Frachtgut</t>
  </si>
  <si>
    <t>Verteidigung</t>
  </si>
  <si>
    <t>Bildung und Forschung – Think Tanks, Forschungseinrichtungen</t>
  </si>
  <si>
    <t>Bildung und Forschung – Schulen, Universitäten</t>
  </si>
  <si>
    <t>Energie – Bergbau</t>
  </si>
  <si>
    <t>Energie – Öl und Gas (Upstream, z. B. Exploration, Downstream, z. B. Raffinerie)</t>
  </si>
  <si>
    <t>Energie – Energieerzeugung (ohne Verteilernetz)</t>
  </si>
  <si>
    <t>Nahrungsmittel – Lebensmittel-herstellung und -verarbeitung</t>
  </si>
  <si>
    <t>Gesundheitswesen</t>
  </si>
  <si>
    <t>IT – Software</t>
  </si>
  <si>
    <t>Produktion – Kraftfahrzeuge (Ohne Finanzdienstleistungen)</t>
  </si>
  <si>
    <t>Medien/Verlagswesen – Medienunternehmen</t>
  </si>
  <si>
    <t>Transport und Logistik – Infrastruktur (Flughäfen, Häfen, Bahnstationen)</t>
  </si>
  <si>
    <t>Unterbringung - Unterhaltung (Bewirtung/Events/Casino)</t>
  </si>
  <si>
    <t>Unterbringung – Hotels/Gaststätten</t>
  </si>
  <si>
    <t>Energie – Versorgungsunternehmen</t>
  </si>
  <si>
    <t>Finanzdienstleistungen –Banken</t>
  </si>
  <si>
    <t>Finanzdienstleistungen – Kreditkarten(-abwicklung)</t>
  </si>
  <si>
    <t>Finanzdienstleistungen – Sonstiges</t>
  </si>
  <si>
    <t>IT – Dienstleister (ASP, ISP, Cloud-Dienste, ITC, Managed Services-Anbieter)</t>
  </si>
  <si>
    <t>Medien/Verlagswesen – Soziale Netzwerke</t>
  </si>
  <si>
    <t>Sonstiges – Abrechnungsservice</t>
  </si>
  <si>
    <t>Sonstiges – Call Center</t>
  </si>
  <si>
    <t>Öffentlicher Sektor</t>
  </si>
  <si>
    <t>Einzelhandel – hauptsächlich online</t>
  </si>
  <si>
    <t>Transport und Logistik – Passagiere</t>
  </si>
  <si>
    <t>Versicherungssumme</t>
  </si>
  <si>
    <t>Versicherungsschutz bei Verlust, Beschädigung, Diebstahl, rechtswidriger Offenlegung von Daten sowie bei DoS-Angriffen</t>
  </si>
  <si>
    <t>Betriebsunterbrechung 
(optional)</t>
  </si>
  <si>
    <t>Krisenmanagement 
(optional)</t>
  </si>
  <si>
    <t>Haftpflichtversicherungsschutz bei Datenschutzverletzungen und bei Verletzung der Geheimhaltungspflicht</t>
  </si>
  <si>
    <t>Haftpflichtversicherungsschutz in Bezug auf die Netzwerksicherheit</t>
  </si>
  <si>
    <t>Medienhaftpflichtversicherungsschutz (optional)</t>
  </si>
  <si>
    <t>Nettoprämie</t>
  </si>
  <si>
    <t>Basisdeckung</t>
  </si>
  <si>
    <t>Cyber Erpressung 
(optional)</t>
  </si>
  <si>
    <t>Gesamtprämie (Basisdeckung + optionale Deckung)</t>
  </si>
  <si>
    <t>Niedrige Exponierung</t>
  </si>
  <si>
    <t>Optionale Deckung</t>
  </si>
  <si>
    <t>Hohe Exponierung</t>
  </si>
  <si>
    <t>Mittlere Exponierung</t>
  </si>
  <si>
    <t xml:space="preserve">Dieser Blitztarif basiert auf den folgenden Annahmen: </t>
  </si>
  <si>
    <t>Umsatz in den USA: kein Umsatz</t>
  </si>
  <si>
    <t>Anzahl an Datensätzen: 0 - 100.000</t>
  </si>
  <si>
    <t>Selbstbehalt: 1.000 Euro</t>
  </si>
  <si>
    <t>Umsatz des Unternehmens: 10 Mio. Euro</t>
  </si>
  <si>
    <t>In Abhängigkeit der individuellen Risikoinformationen sowie der Risikobewertung ergeben sich Zu- oder Abschläge auf die gegebenen Nettoprämien</t>
  </si>
  <si>
    <t>Ausgenommen von dieser Übersicht sind die folgenden Risikoklassen, die aufgrund ihrer Exponierung keine pauschale Preisfestsetzung zulassen:</t>
  </si>
  <si>
    <t>Bewertung des Risikofragebogens: Durchschnittliche Exponierung</t>
  </si>
  <si>
    <t>Einteilung der Risikoklassen</t>
  </si>
  <si>
    <t>Umsatz</t>
  </si>
  <si>
    <t>MUNICH RE CYBER RATING TABLE (Status 25th April 2017)</t>
  </si>
  <si>
    <t xml:space="preserve">Net Premium Rates (loss expectation of 50%) 
</t>
  </si>
  <si>
    <t>1. The premium for Sections 1-10 takes a deductible of USD 1,000 (Tier 1) / USD 2,500 (Tier 2) / USD 10,000 (Tier 3)</t>
  </si>
  <si>
    <t>2. For BI standard time excess of 12h is taken into account</t>
  </si>
  <si>
    <t>3. For limits up to USD 2m  risk assessment using the basic risk questionnnaire is applied</t>
  </si>
  <si>
    <t>4. For limits from USD 2m to 5m the  the medium risk questionnnaire is applied</t>
  </si>
  <si>
    <t>5. For limits &gt;USD 5m an individual risk assessment is applied</t>
  </si>
  <si>
    <t>Industry Rating 1, 2 or 3</t>
  </si>
  <si>
    <t>LOW 1 - Exposure</t>
  </si>
  <si>
    <t xml:space="preserve">Indemnity Limit </t>
  </si>
  <si>
    <t>Section 1 – Restoration</t>
  </si>
  <si>
    <t>Section 2 – Confidentiality and privacy liability</t>
  </si>
  <si>
    <t>Section 3 – Incident and breach response</t>
  </si>
  <si>
    <t>Section 4 – Business Interruption</t>
  </si>
  <si>
    <t>Section 5 -  Cyber Extorsion</t>
  </si>
  <si>
    <t>Section 6 - Reputation</t>
  </si>
  <si>
    <t>Section 7 - Network Security Liability</t>
  </si>
  <si>
    <t>Total Basic Cover 1-7</t>
  </si>
  <si>
    <t>Section 8 - Media Liability</t>
  </si>
  <si>
    <t>Section 9 Cyber Crime</t>
  </si>
  <si>
    <t>Section 10 PCI-DSS</t>
  </si>
  <si>
    <t xml:space="preserve">in USD </t>
  </si>
  <si>
    <t>TIER 1</t>
  </si>
  <si>
    <t>TIER 2</t>
  </si>
  <si>
    <t>TIER 3</t>
  </si>
  <si>
    <t>MEDIUM 2 - Exposure</t>
  </si>
  <si>
    <t>HIGH 3 - Exposure</t>
  </si>
  <si>
    <t>in USD</t>
  </si>
  <si>
    <t xml:space="preserve"> Loading options</t>
  </si>
  <si>
    <t>Section 4 (BI)</t>
  </si>
  <si>
    <t>Section 5 (extortion)</t>
  </si>
  <si>
    <t>LOADINGS AND DISCOUNTS</t>
  </si>
  <si>
    <t>Turnover</t>
  </si>
  <si>
    <t>Discount / Loading</t>
  </si>
  <si>
    <t>No. Of Records</t>
  </si>
  <si>
    <t>Loading %</t>
  </si>
  <si>
    <t>%Turnover or  %PII</t>
  </si>
  <si>
    <t xml:space="preserve"> +/- %</t>
  </si>
  <si>
    <t>up to 100,000</t>
  </si>
  <si>
    <t>in USA</t>
  </si>
  <si>
    <t>to</t>
  </si>
  <si>
    <t>up to 10%</t>
  </si>
  <si>
    <t>10-20%</t>
  </si>
  <si>
    <t>20-30%</t>
  </si>
  <si>
    <t>30-40%</t>
  </si>
  <si>
    <t xml:space="preserve"> to </t>
  </si>
  <si>
    <t>40-50%</t>
  </si>
  <si>
    <t>50-60%</t>
  </si>
  <si>
    <t>60-70%</t>
  </si>
  <si>
    <t xml:space="preserve"> +</t>
  </si>
  <si>
    <t>70-80%</t>
  </si>
  <si>
    <t>80-90%</t>
  </si>
  <si>
    <t>Deductibles</t>
  </si>
  <si>
    <t>USD</t>
  </si>
  <si>
    <t>BI hours</t>
  </si>
  <si>
    <t>Discount %</t>
  </si>
  <si>
    <t>90-100%</t>
  </si>
  <si>
    <t>Tier 1</t>
  </si>
  <si>
    <t>Outsouring Provider</t>
  </si>
  <si>
    <t>Tier 2</t>
  </si>
  <si>
    <t>Named</t>
  </si>
  <si>
    <t>Unnamed</t>
  </si>
  <si>
    <t>+</t>
  </si>
  <si>
    <t>Tier 3</t>
  </si>
  <si>
    <t>Risk Assessment Quest.</t>
  </si>
  <si>
    <t>Disc./Load. %</t>
  </si>
  <si>
    <t>Above average</t>
  </si>
  <si>
    <t>Average</t>
  </si>
  <si>
    <t>Below Average</t>
  </si>
  <si>
    <t>Still acceptable</t>
  </si>
  <si>
    <t>&gt;1.000.000</t>
  </si>
  <si>
    <t>Basis Deckung</t>
  </si>
  <si>
    <t>Bruttoprämie</t>
  </si>
  <si>
    <t xml:space="preserve">Cyber Betrug-Cyber Diebststahl (optional) </t>
  </si>
  <si>
    <t>Wiener Städtische Cyber Protect - Blitztarif (Stand: 25.11.2021)</t>
  </si>
  <si>
    <t>Outsourcing DL</t>
  </si>
  <si>
    <t>Umsatz :</t>
  </si>
  <si>
    <t>- Bewertung des Risikofragebogens: Durchschnittliche Exponierung</t>
  </si>
  <si>
    <t xml:space="preserve">- In Abhängigkeit der individuellen Risikoinformationen sowie der Risikobewertung ergeben sich Zu- oder Abschläge </t>
  </si>
  <si>
    <t>- Selbstbehalt: 1.000 Euro</t>
  </si>
  <si>
    <t>- Anzahl an Datensätzen: 0 - 100.000</t>
  </si>
  <si>
    <t>- Umsatz in den USA: kein Umsatz</t>
  </si>
  <si>
    <t xml:space="preserve">  auf die gegebenen Nettoraten</t>
  </si>
  <si>
    <t>- Ausgenommen von dieser Übersicht sind die Spezialakzept anfragepflichtigen Risiken</t>
  </si>
  <si>
    <t xml:space="preserve">Wiener Städtische Cyber Protect - Blitztarif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</si>
</sst>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_-;\-* #,##0_-;_-* &quot;-&quot;??_-;_-@_-"/>
    <numFmt numFmtId="166" formatCode="0.0"/>
  </numFmts>
  <fonts count="35">
    <font>
      <sz val="10"/>
      <color theme="1"/>
      <name val="Arial"/>
      <family val="2"/>
    </font>
    <font>
      <sz val="10"/>
      <color theme="1"/>
      <name val="Arial"/>
      <family val="2"/>
    </font>
    <font>
      <b/>
      <sz val="10"/>
      <color theme="1"/>
      <name val="Arial"/>
      <family val="2"/>
    </font>
    <font>
      <b/>
      <sz val="12"/>
      <color theme="1"/>
      <name val="Arial"/>
      <family val="2"/>
    </font>
    <font>
      <sz val="11"/>
      <color theme="1"/>
      <name val="Arial"/>
      <family val="2"/>
    </font>
    <font>
      <sz val="20"/>
      <color theme="1"/>
      <name val="Arial"/>
      <family val="2"/>
    </font>
    <font>
      <sz val="12"/>
      <color rgb="FF000000"/>
      <name val="Arial"/>
      <family val="2"/>
    </font>
    <font>
      <b/>
      <sz val="12"/>
      <color rgb="FF000000"/>
      <name val="Arial"/>
      <family val="2"/>
    </font>
    <font>
      <b/>
      <sz val="18"/>
      <color theme="1"/>
      <name val="Arial"/>
      <family val="2"/>
    </font>
    <font>
      <b/>
      <sz val="10"/>
      <color theme="0"/>
      <name val="Arial"/>
      <family val="2"/>
    </font>
    <font>
      <sz val="10"/>
      <color rgb="FFFF0000"/>
      <name val="Arial"/>
      <family val="2"/>
    </font>
    <font>
      <b/>
      <sz val="16"/>
      <color theme="1"/>
      <name val="Arial"/>
      <family val="2"/>
    </font>
    <font>
      <b/>
      <sz val="11"/>
      <color theme="1"/>
      <name val="Arial"/>
      <family val="2"/>
    </font>
    <font>
      <sz val="11"/>
      <color rgb="FF00B050"/>
      <name val="Arial"/>
      <family val="2"/>
    </font>
    <font>
      <sz val="12"/>
      <name val="Arial"/>
      <family val="2"/>
    </font>
    <font>
      <sz val="12"/>
      <color theme="0"/>
      <name val="Arial"/>
      <family val="2"/>
    </font>
    <font>
      <b/>
      <sz val="14"/>
      <color theme="1"/>
      <name val="Arial"/>
      <family val="2"/>
    </font>
    <font>
      <b/>
      <sz val="13"/>
      <color theme="1"/>
      <name val="Arial"/>
      <family val="2"/>
    </font>
    <font>
      <sz val="14"/>
      <color theme="1"/>
      <name val="Arial"/>
      <family val="2"/>
    </font>
    <font>
      <b/>
      <sz val="9"/>
      <color theme="1"/>
      <name val="Arial"/>
      <family val="2"/>
    </font>
    <font>
      <b/>
      <sz val="14"/>
      <color theme="0"/>
      <name val="Arial"/>
      <family val="2"/>
    </font>
    <font>
      <sz val="16"/>
      <color theme="1"/>
      <name val="Arial"/>
      <family val="2"/>
    </font>
    <font>
      <sz val="10"/>
      <color theme="0"/>
      <name val="Arial"/>
      <family val="2"/>
    </font>
    <font>
      <sz val="10"/>
      <color theme="1"/>
      <name val="Sorglos Sans"/>
      <family val="3"/>
    </font>
    <font>
      <sz val="11"/>
      <color theme="1"/>
      <name val="Sorglos Sans"/>
      <family val="3"/>
    </font>
    <font>
      <sz val="20"/>
      <color theme="1"/>
      <name val="Sorglos Sans"/>
      <family val="3"/>
    </font>
    <font>
      <b/>
      <sz val="20"/>
      <color theme="1"/>
      <name val="Sorglos Sans"/>
      <family val="3"/>
    </font>
    <font>
      <b/>
      <sz val="18"/>
      <color theme="1"/>
      <name val="Sorglos Sans"/>
      <family val="3"/>
    </font>
    <font>
      <b/>
      <sz val="10"/>
      <color theme="1"/>
      <name val="Sorglos Sans"/>
      <family val="3"/>
    </font>
    <font>
      <b/>
      <sz val="18"/>
      <color rgb="FFDE0000"/>
      <name val="Sorglos Sans"/>
      <family val="3"/>
    </font>
    <font>
      <b/>
      <sz val="12"/>
      <color rgb="FF000000"/>
      <name val="Sorglos Sans"/>
      <family val="3"/>
    </font>
    <font>
      <sz val="12"/>
      <color rgb="FF000000"/>
      <name val="Sorglos Sans"/>
      <family val="3"/>
    </font>
    <font>
      <b/>
      <sz val="12"/>
      <color rgb="FFDE0000"/>
      <name val="Sorglos Sans"/>
      <family val="3"/>
    </font>
    <font>
      <b/>
      <sz val="11"/>
      <color theme="1"/>
      <name val="Sorglos Sans"/>
      <family val="3"/>
    </font>
    <font>
      <b/>
      <sz val="11"/>
      <color rgb="FFDE0000"/>
      <name val="Sorglos Sans"/>
      <family val="3"/>
    </font>
  </fonts>
  <fills count="20">
    <fill>
      <patternFill patternType="none"/>
    </fill>
    <fill>
      <patternFill patternType="gray125"/>
    </fill>
    <fill>
      <patternFill patternType="solid">
        <fgColor theme="9" tint="0.59999389629810485"/>
        <bgColor indexed="64"/>
      </patternFill>
    </fill>
    <fill>
      <patternFill patternType="gray125">
        <bgColor theme="0"/>
      </patternFill>
    </fill>
    <fill>
      <patternFill patternType="gray0625">
        <bgColor theme="0"/>
      </patternFill>
    </fill>
    <fill>
      <patternFill patternType="solid">
        <fgColor theme="0"/>
        <bgColor indexed="64"/>
      </patternFill>
    </fill>
    <fill>
      <patternFill patternType="solid">
        <fgColor theme="5" tint="0.59999389629810485"/>
        <bgColor indexed="64"/>
      </patternFill>
    </fill>
    <fill>
      <patternFill patternType="gray125">
        <bgColor theme="5" tint="0.59999389629810485"/>
      </patternFill>
    </fill>
    <fill>
      <patternFill patternType="solid">
        <fgColor rgb="FFFFFF00"/>
        <bgColor indexed="64"/>
      </patternFill>
    </fill>
    <fill>
      <patternFill patternType="gray125">
        <bgColor rgb="FFDFDFDF"/>
      </patternFill>
    </fill>
    <fill>
      <patternFill patternType="gray0625">
        <bgColor rgb="FFDFDFDF"/>
      </patternFill>
    </fill>
    <fill>
      <patternFill patternType="solid">
        <fgColor theme="7" tint="0.39997558519241921"/>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7" tint="-0.49998474074526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BCBCBC"/>
        <bgColor indexed="64"/>
      </patternFill>
    </fill>
    <fill>
      <patternFill patternType="solid">
        <fgColor theme="0" tint="-4.9989318521683403E-2"/>
        <bgColor indexed="64"/>
      </patternFill>
    </fill>
    <fill>
      <patternFill patternType="solid">
        <fgColor rgb="FFFFF3F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67">
    <xf numFmtId="0" fontId="0" fillId="0" borderId="0" xfId="0"/>
    <xf numFmtId="0" fontId="0" fillId="0" borderId="0" xfId="0" applyFill="1"/>
    <xf numFmtId="0" fontId="6" fillId="0" borderId="0" xfId="0" applyFont="1" applyBorder="1" applyAlignment="1">
      <alignment horizontal="center" vertical="center" wrapText="1"/>
    </xf>
    <xf numFmtId="4" fontId="0" fillId="0" borderId="0" xfId="0" applyNumberFormat="1" applyBorder="1"/>
    <xf numFmtId="0" fontId="6" fillId="3" borderId="1" xfId="0" applyFont="1" applyFill="1" applyBorder="1" applyAlignment="1">
      <alignment horizontal="center" vertical="center" wrapText="1"/>
    </xf>
    <xf numFmtId="4" fontId="7" fillId="4" borderId="1" xfId="0" applyNumberFormat="1"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164" fontId="6" fillId="5" borderId="1" xfId="1" applyFont="1" applyFill="1" applyBorder="1" applyAlignment="1">
      <alignment horizontal="center" vertical="center" wrapText="1"/>
    </xf>
    <xf numFmtId="4" fontId="6" fillId="6" borderId="1"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0" fillId="0" borderId="0" xfId="0" applyAlignment="1">
      <alignment horizontal="center"/>
    </xf>
    <xf numFmtId="0" fontId="7" fillId="3" borderId="1" xfId="0" applyFont="1" applyFill="1" applyBorder="1" applyAlignment="1">
      <alignment horizontal="center" vertical="center" wrapText="1"/>
    </xf>
    <xf numFmtId="2" fontId="7" fillId="3"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xf>
    <xf numFmtId="0" fontId="7" fillId="7" borderId="1" xfId="0" applyFont="1" applyFill="1" applyBorder="1" applyAlignment="1">
      <alignment horizontal="center" vertical="center" wrapText="1"/>
    </xf>
    <xf numFmtId="0" fontId="0" fillId="0" borderId="0" xfId="0" applyAlignment="1">
      <alignment horizontal="left"/>
    </xf>
    <xf numFmtId="0" fontId="0" fillId="0" borderId="2" xfId="0" applyBorder="1"/>
    <xf numFmtId="0" fontId="0" fillId="0" borderId="5" xfId="0" applyBorder="1" applyAlignment="1">
      <alignment horizontal="center"/>
    </xf>
    <xf numFmtId="0" fontId="0" fillId="0" borderId="5" xfId="0" applyBorder="1"/>
    <xf numFmtId="0" fontId="0" fillId="0" borderId="6" xfId="0" applyBorder="1"/>
    <xf numFmtId="0" fontId="0" fillId="0" borderId="3" xfId="0" applyBorder="1"/>
    <xf numFmtId="0" fontId="3" fillId="0" borderId="0" xfId="0" applyFont="1" applyBorder="1" applyAlignment="1">
      <alignment horizontal="left" vertical="center" wrapText="1"/>
    </xf>
    <xf numFmtId="0" fontId="0" fillId="0" borderId="7" xfId="0" applyBorder="1"/>
    <xf numFmtId="0" fontId="4" fillId="0" borderId="0" xfId="0" applyFont="1" applyBorder="1" applyAlignment="1">
      <alignment horizontal="center" vertical="center"/>
    </xf>
    <xf numFmtId="4" fontId="5" fillId="0" borderId="0" xfId="0" applyNumberFormat="1" applyFont="1" applyFill="1" applyBorder="1"/>
    <xf numFmtId="0" fontId="0" fillId="0" borderId="0" xfId="0" applyBorder="1" applyAlignment="1">
      <alignment horizontal="center"/>
    </xf>
    <xf numFmtId="0" fontId="0" fillId="0" borderId="0" xfId="0" applyBorder="1"/>
    <xf numFmtId="0" fontId="0" fillId="0" borderId="4" xfId="0" applyBorder="1"/>
    <xf numFmtId="0" fontId="0" fillId="0" borderId="8" xfId="0" applyBorder="1" applyAlignment="1">
      <alignment horizontal="center"/>
    </xf>
    <xf numFmtId="0" fontId="0" fillId="0" borderId="8" xfId="0" applyBorder="1"/>
    <xf numFmtId="0" fontId="0" fillId="0" borderId="9" xfId="0" applyBorder="1"/>
    <xf numFmtId="0" fontId="3" fillId="0" borderId="0" xfId="0" applyFont="1" applyAlignment="1">
      <alignment horizontal="left" vertical="center" wrapText="1"/>
    </xf>
    <xf numFmtId="0" fontId="11" fillId="8" borderId="0" xfId="0" applyFont="1" applyFill="1"/>
    <xf numFmtId="0" fontId="0" fillId="8" borderId="0" xfId="0" applyFill="1"/>
    <xf numFmtId="0" fontId="4" fillId="0" borderId="0" xfId="0" applyFont="1" applyAlignment="1">
      <alignment vertical="center"/>
    </xf>
    <xf numFmtId="4" fontId="0" fillId="0" borderId="0" xfId="0" applyNumberFormat="1"/>
    <xf numFmtId="0" fontId="12" fillId="8" borderId="0" xfId="0" applyFont="1" applyFill="1" applyAlignment="1">
      <alignment vertical="center"/>
    </xf>
    <xf numFmtId="4" fontId="0" fillId="0" borderId="0" xfId="0" applyNumberFormat="1" applyFill="1"/>
    <xf numFmtId="0" fontId="13" fillId="0" borderId="0" xfId="0" applyFont="1" applyAlignment="1">
      <alignment vertical="center"/>
    </xf>
    <xf numFmtId="4" fontId="5" fillId="0" borderId="0" xfId="0" applyNumberFormat="1" applyFont="1" applyFill="1"/>
    <xf numFmtId="0" fontId="2" fillId="8" borderId="0" xfId="0" applyFont="1" applyFill="1"/>
    <xf numFmtId="4" fontId="0" fillId="8" borderId="0" xfId="0" applyNumberFormat="1" applyFill="1"/>
    <xf numFmtId="0" fontId="6" fillId="9" borderId="10" xfId="0" applyFont="1" applyFill="1" applyBorder="1" applyAlignment="1">
      <alignment horizontal="center" vertical="center" wrapText="1"/>
    </xf>
    <xf numFmtId="4" fontId="7" fillId="10" borderId="11" xfId="0" applyNumberFormat="1" applyFont="1" applyFill="1" applyBorder="1" applyAlignment="1">
      <alignment horizontal="center" vertical="center" wrapText="1"/>
    </xf>
    <xf numFmtId="4" fontId="6" fillId="0" borderId="11" xfId="0" applyNumberFormat="1" applyFont="1" applyFill="1" applyBorder="1" applyAlignment="1">
      <alignment horizontal="center" vertical="center" wrapText="1"/>
    </xf>
    <xf numFmtId="4" fontId="7" fillId="0" borderId="11" xfId="0" applyNumberFormat="1" applyFont="1" applyFill="1" applyBorder="1" applyAlignment="1">
      <alignment horizontal="center" vertical="center" wrapText="1"/>
    </xf>
    <xf numFmtId="4" fontId="6" fillId="0" borderId="12" xfId="0" applyNumberFormat="1" applyFont="1" applyFill="1" applyBorder="1" applyAlignment="1">
      <alignment horizontal="center" vertical="center" wrapText="1"/>
    </xf>
    <xf numFmtId="0" fontId="6" fillId="9" borderId="13" xfId="0" applyFont="1" applyFill="1" applyBorder="1" applyAlignment="1">
      <alignment horizontal="center" vertical="center" wrapText="1"/>
    </xf>
    <xf numFmtId="4" fontId="6" fillId="9" borderId="14" xfId="0" applyNumberFormat="1" applyFont="1" applyFill="1" applyBorder="1" applyAlignment="1">
      <alignment horizontal="center" vertical="center" wrapText="1"/>
    </xf>
    <xf numFmtId="4" fontId="6" fillId="9" borderId="15" xfId="0" applyNumberFormat="1" applyFont="1" applyFill="1" applyBorder="1" applyAlignment="1">
      <alignment horizontal="center" vertical="center" wrapText="1"/>
    </xf>
    <xf numFmtId="0" fontId="2" fillId="11" borderId="16" xfId="0" applyFont="1" applyFill="1" applyBorder="1"/>
    <xf numFmtId="164" fontId="6" fillId="11" borderId="17" xfId="1" applyFont="1" applyFill="1" applyBorder="1" applyAlignment="1">
      <alignment horizontal="center" vertical="center" wrapText="1"/>
    </xf>
    <xf numFmtId="4" fontId="6" fillId="8" borderId="18" xfId="0" applyNumberFormat="1" applyFont="1" applyFill="1" applyBorder="1" applyAlignment="1">
      <alignment horizontal="center" vertical="center" wrapText="1"/>
    </xf>
    <xf numFmtId="4" fontId="6" fillId="12" borderId="18" xfId="0" applyNumberFormat="1" applyFont="1" applyFill="1" applyBorder="1" applyAlignment="1">
      <alignment horizontal="center" vertical="center" wrapText="1"/>
    </xf>
    <xf numFmtId="4" fontId="6" fillId="12" borderId="19" xfId="0" applyNumberFormat="1" applyFont="1" applyFill="1" applyBorder="1" applyAlignment="1">
      <alignment horizontal="center" vertical="center" wrapText="1"/>
    </xf>
    <xf numFmtId="0" fontId="2" fillId="11" borderId="20" xfId="0" applyFont="1" applyFill="1" applyBorder="1"/>
    <xf numFmtId="164" fontId="6" fillId="11" borderId="21" xfId="1" applyFont="1" applyFill="1" applyBorder="1" applyAlignment="1">
      <alignment horizontal="center" vertical="center" wrapText="1"/>
    </xf>
    <xf numFmtId="4" fontId="6" fillId="8" borderId="1" xfId="0" applyNumberFormat="1" applyFont="1" applyFill="1" applyBorder="1" applyAlignment="1">
      <alignment horizontal="center" vertical="center" wrapText="1"/>
    </xf>
    <xf numFmtId="4" fontId="6" fillId="12" borderId="1" xfId="0" applyNumberFormat="1" applyFont="1" applyFill="1" applyBorder="1" applyAlignment="1">
      <alignment horizontal="center" vertical="center" wrapText="1"/>
    </xf>
    <xf numFmtId="4" fontId="6" fillId="12" borderId="22" xfId="0" applyNumberFormat="1" applyFont="1" applyFill="1" applyBorder="1" applyAlignment="1">
      <alignment horizontal="center" vertical="center" wrapText="1"/>
    </xf>
    <xf numFmtId="0" fontId="2" fillId="11" borderId="23" xfId="0" applyFont="1" applyFill="1" applyBorder="1"/>
    <xf numFmtId="164" fontId="6" fillId="11" borderId="24" xfId="1" applyFont="1" applyFill="1" applyBorder="1" applyAlignment="1">
      <alignment horizontal="center" vertical="center" wrapText="1"/>
    </xf>
    <xf numFmtId="4" fontId="6" fillId="8" borderId="25" xfId="0" applyNumberFormat="1" applyFont="1" applyFill="1" applyBorder="1" applyAlignment="1">
      <alignment horizontal="center" vertical="center" wrapText="1"/>
    </xf>
    <xf numFmtId="4" fontId="6" fillId="12" borderId="25" xfId="0" applyNumberFormat="1" applyFont="1" applyFill="1" applyBorder="1" applyAlignment="1">
      <alignment horizontal="center" vertical="center" wrapText="1"/>
    </xf>
    <xf numFmtId="4" fontId="6" fillId="12" borderId="26" xfId="0" applyNumberFormat="1" applyFont="1" applyFill="1" applyBorder="1" applyAlignment="1">
      <alignment horizontal="center" vertical="center" wrapText="1"/>
    </xf>
    <xf numFmtId="0" fontId="2" fillId="13" borderId="16" xfId="0" applyFont="1" applyFill="1" applyBorder="1"/>
    <xf numFmtId="164" fontId="6" fillId="13" borderId="17" xfId="1" applyFont="1" applyFill="1" applyBorder="1" applyAlignment="1">
      <alignment horizontal="center" vertical="center" wrapText="1"/>
    </xf>
    <xf numFmtId="0" fontId="2" fillId="13" borderId="23" xfId="0" applyFont="1" applyFill="1" applyBorder="1"/>
    <xf numFmtId="164" fontId="6" fillId="13" borderId="24" xfId="1" applyFont="1" applyFill="1" applyBorder="1" applyAlignment="1">
      <alignment horizontal="center" vertical="center" wrapText="1"/>
    </xf>
    <xf numFmtId="4" fontId="14" fillId="8" borderId="25" xfId="0" applyNumberFormat="1" applyFont="1" applyFill="1" applyBorder="1" applyAlignment="1">
      <alignment horizontal="center" vertical="center" wrapText="1"/>
    </xf>
    <xf numFmtId="4" fontId="14" fillId="12" borderId="26" xfId="0" applyNumberFormat="1" applyFont="1" applyFill="1" applyBorder="1" applyAlignment="1">
      <alignment horizontal="center" vertical="center" wrapText="1"/>
    </xf>
    <xf numFmtId="0" fontId="9" fillId="14" borderId="16" xfId="0" applyFont="1" applyFill="1" applyBorder="1"/>
    <xf numFmtId="164" fontId="15" fillId="14" borderId="17" xfId="1" applyFont="1" applyFill="1" applyBorder="1" applyAlignment="1">
      <alignment horizontal="center" vertical="center" wrapText="1"/>
    </xf>
    <xf numFmtId="0" fontId="9" fillId="14" borderId="23" xfId="0" applyFont="1" applyFill="1" applyBorder="1"/>
    <xf numFmtId="164" fontId="15" fillId="14" borderId="27" xfId="1" applyFont="1" applyFill="1" applyBorder="1" applyAlignment="1">
      <alignment horizontal="center" vertical="center" wrapText="1"/>
    </xf>
    <xf numFmtId="4" fontId="6" fillId="8" borderId="28" xfId="0" applyNumberFormat="1" applyFont="1" applyFill="1" applyBorder="1" applyAlignment="1">
      <alignment horizontal="center" vertical="center" wrapText="1"/>
    </xf>
    <xf numFmtId="4" fontId="6" fillId="12" borderId="28" xfId="0" applyNumberFormat="1" applyFont="1" applyFill="1" applyBorder="1" applyAlignment="1">
      <alignment horizontal="center" vertical="center" wrapText="1"/>
    </xf>
    <xf numFmtId="4" fontId="6" fillId="12" borderId="29" xfId="0" applyNumberFormat="1" applyFont="1" applyFill="1" applyBorder="1" applyAlignment="1">
      <alignment horizontal="center" vertical="center" wrapText="1"/>
    </xf>
    <xf numFmtId="4" fontId="6" fillId="0" borderId="0" xfId="0" applyNumberFormat="1" applyFont="1" applyBorder="1" applyAlignment="1">
      <alignment horizontal="center" vertical="center" wrapText="1"/>
    </xf>
    <xf numFmtId="0" fontId="6" fillId="9" borderId="16" xfId="0" applyFont="1" applyFill="1" applyBorder="1" applyAlignment="1">
      <alignment horizontal="center" vertical="center" wrapText="1"/>
    </xf>
    <xf numFmtId="0" fontId="6" fillId="9" borderId="20" xfId="0" applyFont="1" applyFill="1" applyBorder="1" applyAlignment="1">
      <alignment horizontal="center" vertical="center" wrapText="1"/>
    </xf>
    <xf numFmtId="4" fontId="6" fillId="9" borderId="16" xfId="0" applyNumberFormat="1" applyFont="1" applyFill="1" applyBorder="1" applyAlignment="1">
      <alignment horizontal="center" vertical="center" wrapText="1"/>
    </xf>
    <xf numFmtId="0" fontId="2" fillId="11" borderId="2" xfId="0" applyFont="1" applyFill="1" applyBorder="1"/>
    <xf numFmtId="164" fontId="6" fillId="11" borderId="30" xfId="1" applyFont="1" applyFill="1" applyBorder="1" applyAlignment="1">
      <alignment horizontal="center" vertical="center" wrapText="1"/>
    </xf>
    <xf numFmtId="0" fontId="2" fillId="11" borderId="3" xfId="0" applyFont="1" applyFill="1" applyBorder="1"/>
    <xf numFmtId="164" fontId="6" fillId="11" borderId="31" xfId="1" applyFont="1" applyFill="1" applyBorder="1" applyAlignment="1">
      <alignment horizontal="center" vertical="center" wrapText="1"/>
    </xf>
    <xf numFmtId="164" fontId="6" fillId="11" borderId="32" xfId="1" applyFont="1" applyFill="1" applyBorder="1" applyAlignment="1">
      <alignment horizontal="center" vertical="center" wrapText="1"/>
    </xf>
    <xf numFmtId="0" fontId="2" fillId="13" borderId="2" xfId="0" applyFont="1" applyFill="1" applyBorder="1"/>
    <xf numFmtId="164" fontId="6" fillId="13" borderId="30" xfId="1" applyFont="1" applyFill="1" applyBorder="1" applyAlignment="1">
      <alignment horizontal="center" vertical="center" wrapText="1"/>
    </xf>
    <xf numFmtId="0" fontId="2" fillId="13" borderId="4" xfId="0" applyFont="1" applyFill="1" applyBorder="1"/>
    <xf numFmtId="164" fontId="6" fillId="13" borderId="32" xfId="1" applyFont="1" applyFill="1" applyBorder="1" applyAlignment="1">
      <alignment horizontal="center" vertical="center" wrapText="1"/>
    </xf>
    <xf numFmtId="0" fontId="9" fillId="14" borderId="3" xfId="0" applyFont="1" applyFill="1" applyBorder="1"/>
    <xf numFmtId="164" fontId="15" fillId="14" borderId="30" xfId="1" applyFont="1" applyFill="1" applyBorder="1" applyAlignment="1">
      <alignment horizontal="center" vertical="center" wrapText="1"/>
    </xf>
    <xf numFmtId="0" fontId="9" fillId="14" borderId="4" xfId="0" applyFont="1" applyFill="1" applyBorder="1"/>
    <xf numFmtId="164" fontId="15" fillId="14" borderId="33" xfId="1" applyFont="1" applyFill="1" applyBorder="1" applyAlignment="1">
      <alignment horizontal="center" vertical="center" wrapText="1"/>
    </xf>
    <xf numFmtId="0" fontId="2" fillId="11" borderId="4" xfId="0" applyFont="1" applyFill="1" applyBorder="1"/>
    <xf numFmtId="0" fontId="9" fillId="14" borderId="2" xfId="0" applyFont="1" applyFill="1" applyBorder="1"/>
    <xf numFmtId="0" fontId="2" fillId="15" borderId="0" xfId="0" applyFont="1" applyFill="1"/>
    <xf numFmtId="0" fontId="0" fillId="15" borderId="0" xfId="0" applyFill="1"/>
    <xf numFmtId="4" fontId="2" fillId="15" borderId="1" xfId="0" applyNumberFormat="1" applyFont="1" applyFill="1" applyBorder="1" applyAlignment="1">
      <alignment horizontal="center" vertical="center"/>
    </xf>
    <xf numFmtId="4" fontId="2" fillId="15" borderId="34" xfId="0" applyNumberFormat="1" applyFont="1" applyFill="1" applyBorder="1" applyAlignment="1">
      <alignment horizontal="center" vertical="center"/>
    </xf>
    <xf numFmtId="4" fontId="2" fillId="0" borderId="0" xfId="0" applyNumberFormat="1" applyFont="1" applyFill="1" applyBorder="1" applyAlignment="1">
      <alignment horizontal="center" vertical="center"/>
    </xf>
    <xf numFmtId="9" fontId="0" fillId="15" borderId="1" xfId="0" applyNumberFormat="1" applyFill="1" applyBorder="1"/>
    <xf numFmtId="9" fontId="0" fillId="15" borderId="34" xfId="0" applyNumberFormat="1" applyFill="1" applyBorder="1"/>
    <xf numFmtId="9" fontId="0" fillId="0" borderId="0" xfId="0" applyNumberFormat="1" applyFill="1" applyBorder="1"/>
    <xf numFmtId="0" fontId="16" fillId="8" borderId="0" xfId="0" applyFont="1" applyFill="1"/>
    <xf numFmtId="14" fontId="17" fillId="0" borderId="0" xfId="0" applyNumberFormat="1" applyFont="1" applyFill="1"/>
    <xf numFmtId="0" fontId="18" fillId="0" borderId="0" xfId="0" applyFont="1" applyFill="1" applyBorder="1"/>
    <xf numFmtId="0" fontId="16" fillId="8" borderId="30" xfId="0" applyFont="1" applyFill="1" applyBorder="1"/>
    <xf numFmtId="0" fontId="18" fillId="0" borderId="18" xfId="0" applyFont="1" applyBorder="1"/>
    <xf numFmtId="0" fontId="19" fillId="0" borderId="35" xfId="0" applyFont="1" applyBorder="1"/>
    <xf numFmtId="0" fontId="18" fillId="8" borderId="18" xfId="0" applyFont="1" applyFill="1" applyBorder="1"/>
    <xf numFmtId="0" fontId="16" fillId="8" borderId="19" xfId="0" applyFont="1" applyFill="1" applyBorder="1"/>
    <xf numFmtId="0" fontId="18" fillId="8" borderId="19" xfId="0" applyFont="1" applyFill="1" applyBorder="1"/>
    <xf numFmtId="0" fontId="16" fillId="0" borderId="36" xfId="0" applyFont="1" applyBorder="1"/>
    <xf numFmtId="0" fontId="18" fillId="0" borderId="37" xfId="0" applyFont="1" applyBorder="1"/>
    <xf numFmtId="0" fontId="16" fillId="0" borderId="38" xfId="0" applyFont="1" applyBorder="1" applyAlignment="1">
      <alignment horizontal="right"/>
    </xf>
    <xf numFmtId="0" fontId="18" fillId="0" borderId="31" xfId="0" applyFont="1" applyBorder="1"/>
    <xf numFmtId="0" fontId="18" fillId="0" borderId="1" xfId="0" applyFont="1" applyBorder="1"/>
    <xf numFmtId="9" fontId="18" fillId="0" borderId="22" xfId="2" applyFont="1" applyFill="1" applyBorder="1"/>
    <xf numFmtId="0" fontId="16" fillId="8" borderId="31" xfId="0" applyFont="1" applyFill="1" applyBorder="1"/>
    <xf numFmtId="0" fontId="18" fillId="8" borderId="22" xfId="0" applyFont="1" applyFill="1" applyBorder="1"/>
    <xf numFmtId="3" fontId="18" fillId="0" borderId="0" xfId="0" applyNumberFormat="1" applyFont="1" applyFill="1" applyBorder="1" applyAlignment="1">
      <alignment horizontal="center"/>
    </xf>
    <xf numFmtId="0" fontId="18" fillId="0" borderId="31" xfId="0" applyFont="1" applyBorder="1" applyAlignment="1">
      <alignment horizontal="right"/>
    </xf>
    <xf numFmtId="0" fontId="18" fillId="0" borderId="1" xfId="0" applyFont="1" applyBorder="1" applyAlignment="1">
      <alignment horizontal="center"/>
    </xf>
    <xf numFmtId="165" fontId="18" fillId="0" borderId="1" xfId="1" applyNumberFormat="1" applyFont="1" applyBorder="1" applyAlignment="1">
      <alignment horizontal="right"/>
    </xf>
    <xf numFmtId="9" fontId="18" fillId="8" borderId="22" xfId="2" applyFont="1" applyFill="1" applyBorder="1"/>
    <xf numFmtId="3" fontId="18" fillId="0" borderId="31" xfId="0" applyNumberFormat="1" applyFont="1" applyBorder="1"/>
    <xf numFmtId="3" fontId="18" fillId="0" borderId="1" xfId="0" applyNumberFormat="1" applyFont="1" applyBorder="1" applyAlignment="1">
      <alignment horizontal="center"/>
    </xf>
    <xf numFmtId="3" fontId="18" fillId="0" borderId="1" xfId="0" applyNumberFormat="1" applyFont="1" applyBorder="1"/>
    <xf numFmtId="0" fontId="18" fillId="0" borderId="22" xfId="0" applyFont="1" applyBorder="1"/>
    <xf numFmtId="165" fontId="18" fillId="0" borderId="31" xfId="1" applyNumberFormat="1" applyFont="1" applyBorder="1" applyAlignment="1">
      <alignment horizontal="right"/>
    </xf>
    <xf numFmtId="165" fontId="18" fillId="0" borderId="1" xfId="1" applyNumberFormat="1" applyFont="1" applyBorder="1" applyAlignment="1"/>
    <xf numFmtId="0" fontId="16" fillId="0" borderId="22" xfId="0" applyFont="1" applyBorder="1"/>
    <xf numFmtId="9" fontId="18" fillId="0" borderId="31" xfId="0" applyNumberFormat="1" applyFont="1" applyFill="1" applyBorder="1" applyAlignment="1">
      <alignment horizontal="left"/>
    </xf>
    <xf numFmtId="0" fontId="18" fillId="0" borderId="0" xfId="0" applyFont="1" applyFill="1" applyBorder="1" applyAlignment="1">
      <alignment horizontal="center"/>
    </xf>
    <xf numFmtId="9" fontId="18" fillId="0" borderId="39" xfId="2" applyFont="1" applyFill="1" applyBorder="1"/>
    <xf numFmtId="9" fontId="18" fillId="0" borderId="22" xfId="2" applyFont="1" applyBorder="1"/>
    <xf numFmtId="3" fontId="18" fillId="0" borderId="36" xfId="0" applyNumberFormat="1" applyFont="1" applyBorder="1"/>
    <xf numFmtId="3" fontId="18" fillId="0" borderId="37" xfId="0" applyNumberFormat="1" applyFont="1" applyBorder="1" applyAlignment="1">
      <alignment horizontal="center"/>
    </xf>
    <xf numFmtId="3" fontId="18" fillId="0" borderId="37" xfId="0" applyNumberFormat="1" applyFont="1" applyBorder="1"/>
    <xf numFmtId="9" fontId="18" fillId="0" borderId="38" xfId="2" applyFont="1" applyFill="1" applyBorder="1"/>
    <xf numFmtId="3" fontId="18" fillId="0" borderId="33" xfId="0" applyNumberFormat="1" applyFont="1" applyBorder="1"/>
    <xf numFmtId="3" fontId="18" fillId="0" borderId="28" xfId="0" applyNumberFormat="1" applyFont="1" applyBorder="1" applyAlignment="1">
      <alignment horizontal="center"/>
    </xf>
    <xf numFmtId="3" fontId="18" fillId="0" borderId="28" xfId="0" applyNumberFormat="1" applyFont="1" applyBorder="1"/>
    <xf numFmtId="9" fontId="18" fillId="0" borderId="29" xfId="2" applyFont="1" applyFill="1" applyBorder="1"/>
    <xf numFmtId="0" fontId="0" fillId="0" borderId="0" xfId="0" applyFill="1" applyBorder="1"/>
    <xf numFmtId="0" fontId="16" fillId="0" borderId="0" xfId="0" applyFont="1" applyFill="1" applyBorder="1"/>
    <xf numFmtId="0" fontId="16" fillId="0" borderId="18" xfId="0" applyFont="1" applyBorder="1"/>
    <xf numFmtId="0" fontId="16" fillId="0" borderId="19" xfId="0" applyFont="1" applyBorder="1"/>
    <xf numFmtId="0" fontId="18" fillId="0" borderId="33" xfId="0" applyFont="1" applyBorder="1"/>
    <xf numFmtId="3" fontId="16" fillId="0" borderId="0" xfId="0" applyNumberFormat="1" applyFont="1" applyFill="1" applyBorder="1"/>
    <xf numFmtId="0" fontId="16" fillId="11" borderId="31" xfId="0" applyFont="1" applyFill="1" applyBorder="1"/>
    <xf numFmtId="3" fontId="16" fillId="11" borderId="1" xfId="0" applyNumberFormat="1" applyFont="1" applyFill="1" applyBorder="1"/>
    <xf numFmtId="0" fontId="16" fillId="11" borderId="1" xfId="0" applyFont="1" applyFill="1" applyBorder="1"/>
    <xf numFmtId="166" fontId="16" fillId="11" borderId="22" xfId="0" applyNumberFormat="1" applyFont="1" applyFill="1" applyBorder="1"/>
    <xf numFmtId="3" fontId="18" fillId="0" borderId="31" xfId="1" applyNumberFormat="1" applyFont="1" applyBorder="1" applyAlignment="1">
      <alignment horizontal="right"/>
    </xf>
    <xf numFmtId="3" fontId="18" fillId="0" borderId="1" xfId="0" applyNumberFormat="1" applyFont="1" applyBorder="1" applyAlignment="1"/>
    <xf numFmtId="0" fontId="0" fillId="8" borderId="19" xfId="0" applyFill="1" applyBorder="1"/>
    <xf numFmtId="3" fontId="18" fillId="0" borderId="1" xfId="1" applyNumberFormat="1" applyFont="1" applyBorder="1" applyAlignment="1"/>
    <xf numFmtId="0" fontId="16" fillId="13" borderId="31" xfId="0" applyFont="1" applyFill="1" applyBorder="1"/>
    <xf numFmtId="3" fontId="16" fillId="13" borderId="1" xfId="0" applyNumberFormat="1" applyFont="1" applyFill="1" applyBorder="1"/>
    <xf numFmtId="0" fontId="16" fillId="13" borderId="1" xfId="0" applyFont="1" applyFill="1" applyBorder="1"/>
    <xf numFmtId="166" fontId="16" fillId="13" borderId="22" xfId="0" applyNumberFormat="1" applyFont="1" applyFill="1" applyBorder="1"/>
    <xf numFmtId="0" fontId="18" fillId="0" borderId="31" xfId="0" applyFont="1" applyFill="1" applyBorder="1"/>
    <xf numFmtId="0" fontId="18" fillId="0" borderId="33" xfId="0" applyFont="1" applyFill="1" applyBorder="1"/>
    <xf numFmtId="3" fontId="20" fillId="0" borderId="0" xfId="0" applyNumberFormat="1" applyFont="1" applyFill="1" applyBorder="1"/>
    <xf numFmtId="3" fontId="18" fillId="0" borderId="40" xfId="1" applyNumberFormat="1" applyFont="1" applyBorder="1" applyAlignment="1">
      <alignment horizontal="right"/>
    </xf>
    <xf numFmtId="3" fontId="18" fillId="0" borderId="41" xfId="0" applyNumberFormat="1" applyFont="1" applyBorder="1" applyAlignment="1">
      <alignment horizontal="center"/>
    </xf>
    <xf numFmtId="3" fontId="18" fillId="0" borderId="41" xfId="0" applyNumberFormat="1" applyFont="1" applyBorder="1" applyAlignment="1"/>
    <xf numFmtId="9" fontId="18" fillId="0" borderId="29" xfId="2" applyFont="1" applyBorder="1"/>
    <xf numFmtId="0" fontId="20" fillId="14" borderId="31" xfId="0" applyFont="1" applyFill="1" applyBorder="1"/>
    <xf numFmtId="3" fontId="20" fillId="14" borderId="1" xfId="0" applyNumberFormat="1" applyFont="1" applyFill="1" applyBorder="1"/>
    <xf numFmtId="0" fontId="20" fillId="14" borderId="1" xfId="0" applyFont="1" applyFill="1" applyBorder="1"/>
    <xf numFmtId="166" fontId="20" fillId="14" borderId="22" xfId="0" applyNumberFormat="1" applyFont="1" applyFill="1" applyBorder="1"/>
    <xf numFmtId="0" fontId="16" fillId="0" borderId="31" xfId="0" applyFont="1" applyBorder="1"/>
    <xf numFmtId="0" fontId="3" fillId="0" borderId="22" xfId="0" applyFont="1" applyBorder="1"/>
    <xf numFmtId="0" fontId="10" fillId="0" borderId="0" xfId="0" applyFont="1"/>
    <xf numFmtId="9" fontId="18" fillId="0" borderId="22" xfId="2" applyFont="1" applyFill="1" applyBorder="1" applyAlignment="1">
      <alignment horizontal="right"/>
    </xf>
    <xf numFmtId="0" fontId="16" fillId="0" borderId="0" xfId="0" applyFont="1" applyFill="1" applyBorder="1" applyAlignment="1">
      <alignment wrapText="1"/>
    </xf>
    <xf numFmtId="9" fontId="21" fillId="0" borderId="0" xfId="0" applyNumberFormat="1" applyFont="1" applyFill="1" applyBorder="1" applyAlignment="1">
      <alignment horizontal="right"/>
    </xf>
    <xf numFmtId="9" fontId="21" fillId="0" borderId="0" xfId="0" applyNumberFormat="1" applyFont="1" applyFill="1" applyBorder="1"/>
    <xf numFmtId="9" fontId="18" fillId="0" borderId="29" xfId="2" applyFont="1" applyFill="1" applyBorder="1" applyAlignment="1">
      <alignment horizontal="right"/>
    </xf>
    <xf numFmtId="3" fontId="20" fillId="0" borderId="0" xfId="0" applyNumberFormat="1" applyFont="1" applyFill="1" applyBorder="1" applyAlignment="1">
      <alignment horizontal="right"/>
    </xf>
    <xf numFmtId="0" fontId="21" fillId="0" borderId="0" xfId="0" applyFont="1" applyFill="1" applyBorder="1" applyAlignment="1">
      <alignment horizontal="right"/>
    </xf>
    <xf numFmtId="0" fontId="20" fillId="14" borderId="33" xfId="0" applyFont="1" applyFill="1" applyBorder="1"/>
    <xf numFmtId="3" fontId="20" fillId="14" borderId="28" xfId="0" applyNumberFormat="1" applyFont="1" applyFill="1" applyBorder="1" applyAlignment="1">
      <alignment horizontal="right"/>
    </xf>
    <xf numFmtId="0" fontId="20" fillId="14" borderId="28" xfId="0" applyFont="1" applyFill="1" applyBorder="1"/>
    <xf numFmtId="166" fontId="20" fillId="14" borderId="29" xfId="0" applyNumberFormat="1" applyFont="1" applyFill="1" applyBorder="1"/>
    <xf numFmtId="0" fontId="3" fillId="16" borderId="1" xfId="0" applyFont="1" applyFill="1" applyBorder="1" applyAlignment="1">
      <alignment horizontal="left" vertical="center" wrapText="1"/>
    </xf>
    <xf numFmtId="3" fontId="2" fillId="16" borderId="1" xfId="0" applyNumberFormat="1"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Fill="1" applyAlignment="1">
      <alignment vertical="center"/>
    </xf>
    <xf numFmtId="0" fontId="0" fillId="0" borderId="0" xfId="0" applyAlignment="1">
      <alignment vertical="center" wrapText="1"/>
    </xf>
    <xf numFmtId="0" fontId="0" fillId="5" borderId="2" xfId="0" applyFill="1" applyBorder="1" applyAlignment="1">
      <alignment vertical="center"/>
    </xf>
    <xf numFmtId="0" fontId="0" fillId="5" borderId="5" xfId="0" applyFill="1" applyBorder="1" applyAlignment="1">
      <alignment horizontal="center" vertical="center"/>
    </xf>
    <xf numFmtId="0" fontId="0" fillId="5" borderId="5" xfId="0" applyFill="1" applyBorder="1" applyAlignment="1">
      <alignment vertical="center"/>
    </xf>
    <xf numFmtId="0" fontId="0" fillId="5" borderId="6" xfId="0" applyFill="1" applyBorder="1" applyAlignment="1">
      <alignment vertical="center"/>
    </xf>
    <xf numFmtId="0" fontId="0" fillId="5" borderId="3" xfId="0" applyFill="1" applyBorder="1" applyAlignment="1">
      <alignment vertical="center"/>
    </xf>
    <xf numFmtId="0" fontId="0" fillId="5" borderId="0" xfId="0" applyFill="1" applyBorder="1" applyAlignment="1">
      <alignment horizontal="center" vertical="center"/>
    </xf>
    <xf numFmtId="0" fontId="0" fillId="5" borderId="0" xfId="0" applyFill="1" applyBorder="1" applyAlignment="1">
      <alignment vertical="center"/>
    </xf>
    <xf numFmtId="0" fontId="0" fillId="5" borderId="7" xfId="0" applyFill="1" applyBorder="1" applyAlignment="1">
      <alignment vertical="center"/>
    </xf>
    <xf numFmtId="0" fontId="3" fillId="5" borderId="0" xfId="0" applyFont="1" applyFill="1" applyBorder="1" applyAlignment="1">
      <alignment horizontal="left" vertical="center" wrapText="1"/>
    </xf>
    <xf numFmtId="3" fontId="2" fillId="5" borderId="0" xfId="0" applyNumberFormat="1" applyFont="1" applyFill="1" applyBorder="1" applyAlignment="1">
      <alignment horizontal="center" vertical="center" wrapText="1"/>
    </xf>
    <xf numFmtId="0" fontId="8" fillId="5" borderId="0" xfId="0" applyFont="1" applyFill="1" applyBorder="1" applyAlignment="1">
      <alignment horizontal="left" vertical="center" wrapText="1"/>
    </xf>
    <xf numFmtId="0" fontId="4" fillId="5" borderId="0" xfId="0" applyFont="1" applyFill="1" applyBorder="1" applyAlignment="1">
      <alignment horizontal="center" vertical="center"/>
    </xf>
    <xf numFmtId="4" fontId="0" fillId="5" borderId="0" xfId="0" applyNumberFormat="1" applyFill="1" applyBorder="1" applyAlignment="1">
      <alignment vertical="center"/>
    </xf>
    <xf numFmtId="4" fontId="22" fillId="5" borderId="0" xfId="0" applyNumberFormat="1" applyFont="1" applyFill="1" applyBorder="1" applyAlignment="1">
      <alignment vertical="center"/>
    </xf>
    <xf numFmtId="4" fontId="22" fillId="5" borderId="7" xfId="0" applyNumberFormat="1" applyFont="1" applyFill="1" applyBorder="1" applyAlignment="1">
      <alignment vertical="center"/>
    </xf>
    <xf numFmtId="0" fontId="0" fillId="5" borderId="4" xfId="0" applyFill="1" applyBorder="1" applyAlignment="1">
      <alignment vertical="center"/>
    </xf>
    <xf numFmtId="0" fontId="6" fillId="5" borderId="0" xfId="0" applyFont="1" applyFill="1" applyBorder="1" applyAlignment="1">
      <alignment horizontal="center" vertical="center" wrapText="1"/>
    </xf>
    <xf numFmtId="0" fontId="0" fillId="5" borderId="9" xfId="0" applyFill="1" applyBorder="1" applyAlignment="1">
      <alignment vertical="center"/>
    </xf>
    <xf numFmtId="0" fontId="0" fillId="5" borderId="8" xfId="0" applyFill="1" applyBorder="1" applyAlignment="1">
      <alignment horizontal="center" vertical="center"/>
    </xf>
    <xf numFmtId="0" fontId="0" fillId="5" borderId="8" xfId="0" applyFill="1" applyBorder="1" applyAlignment="1">
      <alignment vertical="center"/>
    </xf>
    <xf numFmtId="4" fontId="25" fillId="5" borderId="0" xfId="0" applyNumberFormat="1" applyFont="1" applyFill="1" applyBorder="1" applyAlignment="1">
      <alignment vertical="center"/>
    </xf>
    <xf numFmtId="164" fontId="31" fillId="5" borderId="1" xfId="1" applyFont="1" applyFill="1" applyBorder="1" applyAlignment="1">
      <alignment horizontal="center" vertical="center" wrapText="1"/>
    </xf>
    <xf numFmtId="4" fontId="28" fillId="17" borderId="1" xfId="0" applyNumberFormat="1" applyFont="1" applyFill="1" applyBorder="1" applyAlignment="1">
      <alignment horizontal="center" vertical="center"/>
    </xf>
    <xf numFmtId="4" fontId="31" fillId="17" borderId="1" xfId="0" applyNumberFormat="1" applyFont="1" applyFill="1" applyBorder="1" applyAlignment="1">
      <alignment horizontal="center" vertical="center" wrapText="1"/>
    </xf>
    <xf numFmtId="0" fontId="31" fillId="18" borderId="1" xfId="0" applyFont="1" applyFill="1" applyBorder="1" applyAlignment="1">
      <alignment horizontal="center" vertical="center" wrapText="1"/>
    </xf>
    <xf numFmtId="0" fontId="30" fillId="18" borderId="1" xfId="0" applyFont="1" applyFill="1" applyBorder="1" applyAlignment="1">
      <alignment horizontal="center" vertical="center" wrapText="1"/>
    </xf>
    <xf numFmtId="164" fontId="30" fillId="18" borderId="1" xfId="1" applyFont="1" applyFill="1" applyBorder="1" applyAlignment="1">
      <alignment horizontal="center" vertical="center" wrapText="1"/>
    </xf>
    <xf numFmtId="4" fontId="25" fillId="0" borderId="0" xfId="0" applyNumberFormat="1" applyFont="1" applyFill="1" applyBorder="1" applyAlignment="1">
      <alignment vertical="center"/>
    </xf>
    <xf numFmtId="4" fontId="28" fillId="19" borderId="1" xfId="0" applyNumberFormat="1" applyFont="1" applyFill="1" applyBorder="1" applyAlignment="1">
      <alignment horizontal="center" vertical="center"/>
    </xf>
    <xf numFmtId="0" fontId="30" fillId="19" borderId="1" xfId="0" applyFont="1" applyFill="1" applyBorder="1" applyAlignment="1">
      <alignment horizontal="center" vertical="center" wrapText="1"/>
    </xf>
    <xf numFmtId="0" fontId="24" fillId="0" borderId="0" xfId="0" applyFont="1" applyAlignment="1">
      <alignment vertical="center"/>
    </xf>
    <xf numFmtId="0" fontId="24" fillId="0" borderId="0" xfId="0" applyFont="1" applyAlignment="1">
      <alignment horizontal="center" vertical="center"/>
    </xf>
    <xf numFmtId="0" fontId="0" fillId="5" borderId="50" xfId="0" applyFill="1" applyBorder="1" applyAlignment="1">
      <alignment vertical="center"/>
    </xf>
    <xf numFmtId="0" fontId="23" fillId="5" borderId="51" xfId="0" applyFont="1" applyFill="1" applyBorder="1" applyAlignment="1">
      <alignment vertical="center"/>
    </xf>
    <xf numFmtId="0" fontId="0" fillId="5" borderId="24" xfId="0" applyFill="1" applyBorder="1" applyAlignment="1">
      <alignment vertical="center"/>
    </xf>
    <xf numFmtId="0" fontId="0" fillId="5" borderId="43" xfId="0" applyFill="1" applyBorder="1" applyAlignment="1">
      <alignment vertical="center"/>
    </xf>
    <xf numFmtId="0" fontId="23" fillId="5" borderId="0" xfId="0" applyFont="1" applyFill="1" applyBorder="1" applyAlignment="1">
      <alignment horizontal="center" vertical="center"/>
    </xf>
    <xf numFmtId="0" fontId="23" fillId="5" borderId="0" xfId="0" applyFont="1" applyFill="1" applyBorder="1" applyAlignment="1">
      <alignment vertical="center"/>
    </xf>
    <xf numFmtId="0" fontId="0" fillId="5" borderId="42" xfId="0" applyFill="1" applyBorder="1" applyAlignment="1">
      <alignment vertical="center"/>
    </xf>
    <xf numFmtId="0" fontId="24" fillId="5" borderId="0" xfId="0" applyFont="1" applyFill="1" applyBorder="1" applyAlignment="1">
      <alignment horizontal="left" vertical="center"/>
    </xf>
    <xf numFmtId="0" fontId="0" fillId="5" borderId="45" xfId="0" applyFill="1" applyBorder="1" applyAlignment="1">
      <alignment vertical="center"/>
    </xf>
    <xf numFmtId="0" fontId="0" fillId="5" borderId="44" xfId="0" applyFill="1" applyBorder="1" applyAlignment="1">
      <alignment horizontal="center" vertical="center"/>
    </xf>
    <xf numFmtId="0" fontId="0" fillId="5" borderId="44" xfId="0" applyFill="1" applyBorder="1" applyAlignment="1">
      <alignment vertical="center"/>
    </xf>
    <xf numFmtId="0" fontId="0" fillId="5" borderId="46" xfId="0" applyFill="1" applyBorder="1" applyAlignment="1">
      <alignment vertical="center"/>
    </xf>
    <xf numFmtId="0" fontId="24" fillId="5" borderId="42" xfId="0" applyFont="1" applyFill="1" applyBorder="1" applyAlignment="1">
      <alignment horizontal="left" vertical="center"/>
    </xf>
    <xf numFmtId="0" fontId="24" fillId="5" borderId="0" xfId="0" applyFont="1" applyFill="1" applyBorder="1" applyAlignment="1">
      <alignment vertical="center"/>
    </xf>
    <xf numFmtId="0" fontId="24" fillId="5" borderId="42" xfId="0" applyFont="1" applyFill="1" applyBorder="1" applyAlignment="1">
      <alignment vertical="center"/>
    </xf>
    <xf numFmtId="0" fontId="24" fillId="5" borderId="43" xfId="0" quotePrefix="1" applyFont="1" applyFill="1" applyBorder="1" applyAlignment="1">
      <alignment vertical="center"/>
    </xf>
    <xf numFmtId="0" fontId="24" fillId="0" borderId="1" xfId="0" applyFont="1" applyBorder="1" applyAlignment="1">
      <alignment horizontal="left" vertical="center" wrapText="1"/>
    </xf>
    <xf numFmtId="0" fontId="33" fillId="18" borderId="1" xfId="0" applyFont="1" applyFill="1" applyBorder="1" applyAlignment="1">
      <alignment horizontal="center" vertical="center" wrapText="1"/>
    </xf>
    <xf numFmtId="0" fontId="24" fillId="0" borderId="1" xfId="0" applyFont="1" applyBorder="1" applyAlignment="1">
      <alignment vertical="center" wrapText="1"/>
    </xf>
    <xf numFmtId="0" fontId="24" fillId="0" borderId="34" xfId="0" applyFont="1" applyBorder="1" applyAlignment="1">
      <alignment vertical="center" wrapText="1"/>
    </xf>
    <xf numFmtId="0" fontId="24" fillId="0" borderId="21" xfId="0" applyFont="1" applyBorder="1" applyAlignment="1">
      <alignment vertical="center" wrapText="1"/>
    </xf>
    <xf numFmtId="0" fontId="26" fillId="5" borderId="0" xfId="0" applyFont="1" applyFill="1" applyBorder="1" applyAlignment="1">
      <alignment horizontal="center" vertical="center" wrapText="1"/>
    </xf>
    <xf numFmtId="0" fontId="0" fillId="5" borderId="0" xfId="0" applyFill="1" applyBorder="1" applyAlignment="1">
      <alignment horizontal="center" vertical="center"/>
    </xf>
    <xf numFmtId="3" fontId="29" fillId="5" borderId="48" xfId="0" applyNumberFormat="1" applyFont="1" applyFill="1" applyBorder="1" applyAlignment="1">
      <alignment horizontal="left" vertical="center" wrapText="1"/>
    </xf>
    <xf numFmtId="3" fontId="29" fillId="5" borderId="49" xfId="0" applyNumberFormat="1" applyFont="1" applyFill="1" applyBorder="1" applyAlignment="1">
      <alignment horizontal="left" vertical="center" wrapText="1"/>
    </xf>
    <xf numFmtId="0" fontId="27" fillId="5" borderId="47" xfId="0" applyFont="1" applyFill="1" applyBorder="1" applyAlignment="1">
      <alignment horizontal="center" vertical="center" wrapText="1"/>
    </xf>
    <xf numFmtId="0" fontId="27" fillId="5" borderId="48" xfId="0" applyFont="1" applyFill="1" applyBorder="1" applyAlignment="1">
      <alignment horizontal="center" vertical="center" wrapText="1"/>
    </xf>
    <xf numFmtId="0" fontId="32" fillId="5" borderId="51" xfId="0" applyFont="1" applyFill="1" applyBorder="1" applyAlignment="1">
      <alignment horizontal="left" vertical="center" wrapText="1"/>
    </xf>
    <xf numFmtId="0" fontId="24" fillId="5" borderId="43" xfId="0" quotePrefix="1" applyFont="1" applyFill="1" applyBorder="1" applyAlignment="1">
      <alignment horizontal="left" vertical="center"/>
    </xf>
    <xf numFmtId="0" fontId="24" fillId="5" borderId="0" xfId="0" applyFont="1" applyFill="1" applyBorder="1" applyAlignment="1">
      <alignment horizontal="left" vertical="center"/>
    </xf>
    <xf numFmtId="0" fontId="24" fillId="5" borderId="42" xfId="0" applyFont="1" applyFill="1" applyBorder="1" applyAlignment="1">
      <alignment horizontal="left" vertical="center"/>
    </xf>
    <xf numFmtId="0" fontId="24" fillId="5" borderId="43" xfId="0" applyFont="1" applyFill="1" applyBorder="1" applyAlignment="1">
      <alignment horizontal="left" vertical="center"/>
    </xf>
    <xf numFmtId="0" fontId="0" fillId="0" borderId="1" xfId="0" applyBorder="1" applyAlignment="1">
      <alignment horizontal="left" vertical="center" wrapText="1"/>
    </xf>
    <xf numFmtId="0" fontId="34" fillId="0" borderId="0" xfId="0" applyFont="1" applyAlignment="1">
      <alignment horizontal="left" vertical="center"/>
    </xf>
    <xf numFmtId="0" fontId="33" fillId="18" borderId="1" xfId="0" applyFont="1" applyFill="1" applyBorder="1" applyAlignment="1">
      <alignment horizontal="left" vertical="center" wrapText="1"/>
    </xf>
    <xf numFmtId="0" fontId="3" fillId="0" borderId="0" xfId="0" applyFont="1" applyAlignment="1">
      <alignment horizontal="left" vertical="center" wrapText="1"/>
    </xf>
    <xf numFmtId="0" fontId="0" fillId="0" borderId="0" xfId="0" applyAlignment="1">
      <alignment horizontal="center"/>
    </xf>
    <xf numFmtId="0" fontId="8" fillId="0" borderId="0" xfId="0" applyFont="1" applyBorder="1" applyAlignment="1">
      <alignment horizontal="left" vertical="center" wrapText="1"/>
    </xf>
    <xf numFmtId="4" fontId="2" fillId="6" borderId="1" xfId="0" applyNumberFormat="1" applyFont="1" applyFill="1" applyBorder="1" applyAlignment="1">
      <alignment horizontal="center"/>
    </xf>
    <xf numFmtId="4" fontId="2" fillId="2" borderId="1" xfId="0" applyNumberFormat="1" applyFont="1" applyFill="1" applyBorder="1" applyAlignment="1">
      <alignment horizontal="center"/>
    </xf>
  </cellXfs>
  <cellStyles count="3">
    <cellStyle name="Komma" xfId="1" builtinId="3"/>
    <cellStyle name="Prozent" xfId="2" builtinId="5"/>
    <cellStyle name="Standard" xfId="0" builtinId="0"/>
  </cellStyles>
  <dxfs count="0"/>
  <tableStyles count="0" defaultTableStyle="TableStyleMedium2" defaultPivotStyle="PivotStyleLight16"/>
  <colors>
    <mruColors>
      <color rgb="FFFFF3F3"/>
      <color rgb="FFDE0000"/>
      <color rgb="FFFFE7E7"/>
      <color rgb="FFF9F9F9"/>
      <color rgb="FFBCBCBC"/>
      <color rgb="FFFF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16933</xdr:colOff>
      <xdr:row>2</xdr:row>
      <xdr:rowOff>25401</xdr:rowOff>
    </xdr:from>
    <xdr:to>
      <xdr:col>6</xdr:col>
      <xdr:colOff>298612</xdr:colOff>
      <xdr:row>10</xdr:row>
      <xdr:rowOff>69413</xdr:rowOff>
    </xdr:to>
    <xdr:pic>
      <xdr:nvPicPr>
        <xdr:cNvPr id="2" name="Grafik 1">
          <a:extLst>
            <a:ext uri="{FF2B5EF4-FFF2-40B4-BE49-F238E27FC236}">
              <a16:creationId xmlns:a16="http://schemas.microsoft.com/office/drawing/2014/main" id="{61F592AE-0827-4682-82E9-8A2A4DCF4491}"/>
            </a:ext>
          </a:extLst>
        </xdr:cNvPr>
        <xdr:cNvPicPr>
          <a:picLocks noChangeAspect="1"/>
        </xdr:cNvPicPr>
      </xdr:nvPicPr>
      <xdr:blipFill>
        <a:blip xmlns:r="http://schemas.openxmlformats.org/officeDocument/2006/relationships" r:embed="rId1"/>
        <a:stretch>
          <a:fillRect/>
        </a:stretch>
      </xdr:blipFill>
      <xdr:spPr>
        <a:xfrm>
          <a:off x="6934200" y="372534"/>
          <a:ext cx="2169746" cy="1398679"/>
        </a:xfrm>
        <a:prstGeom prst="rect">
          <a:avLst/>
        </a:prstGeom>
      </xdr:spPr>
    </xdr:pic>
    <xdr:clientData/>
  </xdr:twoCellAnchor>
  <xdr:twoCellAnchor>
    <xdr:from>
      <xdr:col>2</xdr:col>
      <xdr:colOff>508000</xdr:colOff>
      <xdr:row>6</xdr:row>
      <xdr:rowOff>143933</xdr:rowOff>
    </xdr:from>
    <xdr:to>
      <xdr:col>4</xdr:col>
      <xdr:colOff>1193800</xdr:colOff>
      <xdr:row>6</xdr:row>
      <xdr:rowOff>160866</xdr:rowOff>
    </xdr:to>
    <xdr:cxnSp macro="">
      <xdr:nvCxnSpPr>
        <xdr:cNvPr id="4" name="Gerader Verbinder 3">
          <a:extLst>
            <a:ext uri="{FF2B5EF4-FFF2-40B4-BE49-F238E27FC236}">
              <a16:creationId xmlns:a16="http://schemas.microsoft.com/office/drawing/2014/main" id="{761DA6E9-F92E-AC49-A0E0-674B59B15217}"/>
            </a:ext>
          </a:extLst>
        </xdr:cNvPr>
        <xdr:cNvCxnSpPr>
          <a:cxnSpLocks/>
        </xdr:cNvCxnSpPr>
      </xdr:nvCxnSpPr>
      <xdr:spPr>
        <a:xfrm flipV="1">
          <a:off x="1058333" y="1168400"/>
          <a:ext cx="5063067" cy="16933"/>
        </a:xfrm>
        <a:prstGeom prst="line">
          <a:avLst/>
        </a:prstGeom>
        <a:ln w="57150">
          <a:solidFill>
            <a:srgbClr val="DA291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186268</xdr:colOff>
      <xdr:row>9</xdr:row>
      <xdr:rowOff>76201</xdr:rowOff>
    </xdr:from>
    <xdr:to>
      <xdr:col>2</xdr:col>
      <xdr:colOff>804333</xdr:colOff>
      <xdr:row>12</xdr:row>
      <xdr:rowOff>355600</xdr:rowOff>
    </xdr:to>
    <xdr:grpSp>
      <xdr:nvGrpSpPr>
        <xdr:cNvPr id="9" name="Gruppieren 8">
          <a:extLst>
            <a:ext uri="{FF2B5EF4-FFF2-40B4-BE49-F238E27FC236}">
              <a16:creationId xmlns:a16="http://schemas.microsoft.com/office/drawing/2014/main" id="{AECC5D74-FB71-4631-950B-87BC3C7DCFB1}"/>
            </a:ext>
          </a:extLst>
        </xdr:cNvPr>
        <xdr:cNvGrpSpPr/>
      </xdr:nvGrpSpPr>
      <xdr:grpSpPr>
        <a:xfrm>
          <a:off x="503768" y="1515534"/>
          <a:ext cx="840315" cy="755649"/>
          <a:chOff x="4218040" y="1905311"/>
          <a:chExt cx="1219200" cy="1101213"/>
        </a:xfrm>
      </xdr:grpSpPr>
      <xdr:sp macro="" textlink="">
        <xdr:nvSpPr>
          <xdr:cNvPr id="10" name="Ellipse 9">
            <a:extLst>
              <a:ext uri="{FF2B5EF4-FFF2-40B4-BE49-F238E27FC236}">
                <a16:creationId xmlns:a16="http://schemas.microsoft.com/office/drawing/2014/main" id="{A0F2F3DA-CEAA-4DEB-95BB-6E97B8A1B8DA}"/>
              </a:ext>
            </a:extLst>
          </xdr:cNvPr>
          <xdr:cNvSpPr/>
        </xdr:nvSpPr>
        <xdr:spPr>
          <a:xfrm>
            <a:off x="4247537" y="1905311"/>
            <a:ext cx="1160206" cy="1101213"/>
          </a:xfrm>
          <a:prstGeom prst="ellipse">
            <a:avLst/>
          </a:prstGeom>
          <a:solidFill>
            <a:srgbClr val="FFFFFF">
              <a:lumMod val="95000"/>
            </a:srgbClr>
          </a:solidFill>
          <a:ln w="12700" cap="flat" cmpd="sng" algn="ctr">
            <a:noFill/>
            <a:prstDash val="solid"/>
            <a:miter lim="800000"/>
          </a:ln>
          <a:effectLst>
            <a:glow rad="63500">
              <a:srgbClr val="CCCCCC">
                <a:satMod val="175000"/>
                <a:alpha val="40000"/>
              </a:srgbClr>
            </a:glo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rgbClr val="FFFFFF"/>
                </a:solidFill>
                <a:latin typeface="Arial" panose="020B0604020202020204"/>
              </a:defRPr>
            </a:lvl1pPr>
            <a:lvl2pPr marL="457200" algn="l" defTabSz="914400" rtl="0" eaLnBrk="1" latinLnBrk="0" hangingPunct="1">
              <a:defRPr sz="1800" kern="1200">
                <a:solidFill>
                  <a:srgbClr val="FFFFFF"/>
                </a:solidFill>
                <a:latin typeface="Arial" panose="020B0604020202020204"/>
              </a:defRPr>
            </a:lvl2pPr>
            <a:lvl3pPr marL="914400" algn="l" defTabSz="914400" rtl="0" eaLnBrk="1" latinLnBrk="0" hangingPunct="1">
              <a:defRPr sz="1800" kern="1200">
                <a:solidFill>
                  <a:srgbClr val="FFFFFF"/>
                </a:solidFill>
                <a:latin typeface="Arial" panose="020B0604020202020204"/>
              </a:defRPr>
            </a:lvl3pPr>
            <a:lvl4pPr marL="1371600" algn="l" defTabSz="914400" rtl="0" eaLnBrk="1" latinLnBrk="0" hangingPunct="1">
              <a:defRPr sz="1800" kern="1200">
                <a:solidFill>
                  <a:srgbClr val="FFFFFF"/>
                </a:solidFill>
                <a:latin typeface="Arial" panose="020B0604020202020204"/>
              </a:defRPr>
            </a:lvl4pPr>
            <a:lvl5pPr marL="1828800" algn="l" defTabSz="914400" rtl="0" eaLnBrk="1" latinLnBrk="0" hangingPunct="1">
              <a:defRPr sz="1800" kern="1200">
                <a:solidFill>
                  <a:srgbClr val="FFFFFF"/>
                </a:solidFill>
                <a:latin typeface="Arial" panose="020B0604020202020204"/>
              </a:defRPr>
            </a:lvl5pPr>
            <a:lvl6pPr marL="2286000" algn="l" defTabSz="914400" rtl="0" eaLnBrk="1" latinLnBrk="0" hangingPunct="1">
              <a:defRPr sz="1800" kern="1200">
                <a:solidFill>
                  <a:srgbClr val="FFFFFF"/>
                </a:solidFill>
                <a:latin typeface="Arial" panose="020B0604020202020204"/>
              </a:defRPr>
            </a:lvl6pPr>
            <a:lvl7pPr marL="2743200" algn="l" defTabSz="914400" rtl="0" eaLnBrk="1" latinLnBrk="0" hangingPunct="1">
              <a:defRPr sz="1800" kern="1200">
                <a:solidFill>
                  <a:srgbClr val="FFFFFF"/>
                </a:solidFill>
                <a:latin typeface="Arial" panose="020B0604020202020204"/>
              </a:defRPr>
            </a:lvl7pPr>
            <a:lvl8pPr marL="3200400" algn="l" defTabSz="914400" rtl="0" eaLnBrk="1" latinLnBrk="0" hangingPunct="1">
              <a:defRPr sz="1800" kern="1200">
                <a:solidFill>
                  <a:srgbClr val="FFFFFF"/>
                </a:solidFill>
                <a:latin typeface="Arial" panose="020B0604020202020204"/>
              </a:defRPr>
            </a:lvl8pPr>
            <a:lvl9pPr marL="3657600" algn="l" defTabSz="914400" rtl="0" eaLnBrk="1" latinLnBrk="0" hangingPunct="1">
              <a:defRPr sz="1800" kern="1200">
                <a:solidFill>
                  <a:srgbClr val="FFFFFF"/>
                </a:solidFill>
                <a:latin typeface="Arial" panose="020B0604020202020204"/>
              </a:defRPr>
            </a:lvl9pPr>
          </a:lstStyle>
          <a:p>
            <a:pPr algn="ctr"/>
            <a:endParaRPr lang="de-AT" sz="1400"/>
          </a:p>
        </xdr:txBody>
      </xdr:sp>
      <xdr:sp macro="" textlink="">
        <xdr:nvSpPr>
          <xdr:cNvPr id="11" name="Textfeld 5">
            <a:extLst>
              <a:ext uri="{FF2B5EF4-FFF2-40B4-BE49-F238E27FC236}">
                <a16:creationId xmlns:a16="http://schemas.microsoft.com/office/drawing/2014/main" id="{5F875933-4998-4F15-8204-DAB77792DCC8}"/>
              </a:ext>
            </a:extLst>
          </xdr:cNvPr>
          <xdr:cNvSpPr txBox="1"/>
        </xdr:nvSpPr>
        <xdr:spPr>
          <a:xfrm>
            <a:off x="4218040" y="2271252"/>
            <a:ext cx="1219200" cy="359341"/>
          </a:xfrm>
          <a:prstGeom prst="rect">
            <a:avLst/>
          </a:prstGeom>
          <a:noFill/>
        </xdr:spPr>
        <xdr:txBody>
          <a:bodyPr wrap="square" rtlCol="0">
            <a:spAutoFit/>
          </a:bodyPr>
          <a:lstStyle>
            <a:defPPr>
              <a:defRPr lang="de-DE"/>
            </a:defPPr>
            <a:lvl1pPr marL="0" algn="l" defTabSz="914400" rtl="0" eaLnBrk="1" latinLnBrk="0" hangingPunct="1">
              <a:defRPr sz="1800" kern="1200">
                <a:solidFill>
                  <a:srgbClr val="000000"/>
                </a:solidFill>
                <a:latin typeface="Arial" panose="020B0604020202020204"/>
              </a:defRPr>
            </a:lvl1pPr>
            <a:lvl2pPr marL="457200" algn="l" defTabSz="914400" rtl="0" eaLnBrk="1" latinLnBrk="0" hangingPunct="1">
              <a:defRPr sz="1800" kern="1200">
                <a:solidFill>
                  <a:srgbClr val="000000"/>
                </a:solidFill>
                <a:latin typeface="Arial" panose="020B0604020202020204"/>
              </a:defRPr>
            </a:lvl2pPr>
            <a:lvl3pPr marL="914400" algn="l" defTabSz="914400" rtl="0" eaLnBrk="1" latinLnBrk="0" hangingPunct="1">
              <a:defRPr sz="1800" kern="1200">
                <a:solidFill>
                  <a:srgbClr val="000000"/>
                </a:solidFill>
                <a:latin typeface="Arial" panose="020B0604020202020204"/>
              </a:defRPr>
            </a:lvl3pPr>
            <a:lvl4pPr marL="1371600" algn="l" defTabSz="914400" rtl="0" eaLnBrk="1" latinLnBrk="0" hangingPunct="1">
              <a:defRPr sz="1800" kern="1200">
                <a:solidFill>
                  <a:srgbClr val="000000"/>
                </a:solidFill>
                <a:latin typeface="Arial" panose="020B0604020202020204"/>
              </a:defRPr>
            </a:lvl4pPr>
            <a:lvl5pPr marL="1828800" algn="l" defTabSz="914400" rtl="0" eaLnBrk="1" latinLnBrk="0" hangingPunct="1">
              <a:defRPr sz="1800" kern="1200">
                <a:solidFill>
                  <a:srgbClr val="000000"/>
                </a:solidFill>
                <a:latin typeface="Arial" panose="020B0604020202020204"/>
              </a:defRPr>
            </a:lvl5pPr>
            <a:lvl6pPr marL="2286000" algn="l" defTabSz="914400" rtl="0" eaLnBrk="1" latinLnBrk="0" hangingPunct="1">
              <a:defRPr sz="1800" kern="1200">
                <a:solidFill>
                  <a:srgbClr val="000000"/>
                </a:solidFill>
                <a:latin typeface="Arial" panose="020B0604020202020204"/>
              </a:defRPr>
            </a:lvl6pPr>
            <a:lvl7pPr marL="2743200" algn="l" defTabSz="914400" rtl="0" eaLnBrk="1" latinLnBrk="0" hangingPunct="1">
              <a:defRPr sz="1800" kern="1200">
                <a:solidFill>
                  <a:srgbClr val="000000"/>
                </a:solidFill>
                <a:latin typeface="Arial" panose="020B0604020202020204"/>
              </a:defRPr>
            </a:lvl7pPr>
            <a:lvl8pPr marL="3200400" algn="l" defTabSz="914400" rtl="0" eaLnBrk="1" latinLnBrk="0" hangingPunct="1">
              <a:defRPr sz="1800" kern="1200">
                <a:solidFill>
                  <a:srgbClr val="000000"/>
                </a:solidFill>
                <a:latin typeface="Arial" panose="020B0604020202020204"/>
              </a:defRPr>
            </a:lvl8pPr>
            <a:lvl9pPr marL="3657600" algn="l" defTabSz="914400" rtl="0" eaLnBrk="1" latinLnBrk="0" hangingPunct="1">
              <a:defRPr sz="1800" kern="1200">
                <a:solidFill>
                  <a:srgbClr val="000000"/>
                </a:solidFill>
                <a:latin typeface="Arial" panose="020B0604020202020204"/>
              </a:defRPr>
            </a:lvl9pPr>
          </a:lstStyle>
          <a:p>
            <a:pPr algn="ctr"/>
            <a:r>
              <a:rPr lang="de-AT" sz="1400" b="1">
                <a:solidFill>
                  <a:srgbClr val="DA291C"/>
                </a:solidFill>
                <a:latin typeface="Sorglos Sans" pitchFamily="50" charset="0"/>
              </a:rPr>
              <a:t>11/2021</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8DA73-227D-4637-AA8C-94111508C0FC}">
  <sheetPr>
    <pageSetUpPr fitToPage="1"/>
  </sheetPr>
  <dimension ref="B1:I70"/>
  <sheetViews>
    <sheetView tabSelected="1" zoomScale="90" zoomScaleNormal="90" workbookViewId="0">
      <selection activeCell="B13" sqref="B13:D13"/>
    </sheetView>
  </sheetViews>
  <sheetFormatPr baseColWidth="10" defaultColWidth="11.5703125" defaultRowHeight="12.75"/>
  <cols>
    <col min="1" max="1" width="4.7109375" style="191" customWidth="1"/>
    <col min="2" max="2" width="3.28515625" style="191" customWidth="1"/>
    <col min="3" max="3" width="39.28515625" style="192" customWidth="1"/>
    <col min="4" max="5" width="24.42578125" style="191" customWidth="1"/>
    <col min="6" max="6" width="27.5703125" style="191" customWidth="1"/>
    <col min="7" max="7" width="4.5703125" style="191" bestFit="1" customWidth="1"/>
    <col min="8" max="8" width="12.5703125" style="191" customWidth="1"/>
    <col min="9" max="16384" width="11.5703125" style="191"/>
  </cols>
  <sheetData>
    <row r="1" spans="2:8" ht="13.5" thickBot="1"/>
    <row r="2" spans="2:8">
      <c r="B2" s="195"/>
      <c r="C2" s="196"/>
      <c r="D2" s="197"/>
      <c r="E2" s="197"/>
      <c r="F2" s="197"/>
      <c r="G2" s="198"/>
    </row>
    <row r="3" spans="2:8">
      <c r="B3" s="199"/>
      <c r="C3" s="200"/>
      <c r="D3" s="201"/>
      <c r="E3" s="201"/>
      <c r="F3" s="201"/>
      <c r="G3" s="202"/>
    </row>
    <row r="4" spans="2:8">
      <c r="B4" s="199"/>
      <c r="C4" s="248" t="s">
        <v>145</v>
      </c>
      <c r="D4" s="249"/>
      <c r="E4" s="249"/>
      <c r="F4" s="201"/>
      <c r="G4" s="202"/>
    </row>
    <row r="5" spans="2:8">
      <c r="B5" s="199"/>
      <c r="C5" s="249"/>
      <c r="D5" s="249"/>
      <c r="E5" s="249"/>
      <c r="F5" s="201"/>
      <c r="G5" s="202"/>
    </row>
    <row r="6" spans="2:8">
      <c r="B6" s="199"/>
      <c r="C6" s="249"/>
      <c r="D6" s="249"/>
      <c r="E6" s="249"/>
      <c r="F6" s="201"/>
      <c r="G6" s="202"/>
    </row>
    <row r="7" spans="2:8">
      <c r="B7" s="199"/>
      <c r="C7" s="249"/>
      <c r="D7" s="249"/>
      <c r="E7" s="249"/>
      <c r="F7" s="201"/>
      <c r="G7" s="202"/>
    </row>
    <row r="8" spans="2:8">
      <c r="B8" s="199"/>
      <c r="C8" s="249"/>
      <c r="D8" s="249"/>
      <c r="E8" s="249"/>
      <c r="F8" s="201"/>
      <c r="G8" s="202"/>
    </row>
    <row r="9" spans="2:8">
      <c r="B9" s="199"/>
      <c r="C9" s="249"/>
      <c r="D9" s="249"/>
      <c r="E9" s="249"/>
      <c r="F9" s="201"/>
      <c r="G9" s="202"/>
    </row>
    <row r="10" spans="2:8">
      <c r="B10" s="199"/>
      <c r="C10" s="249"/>
      <c r="D10" s="249"/>
      <c r="E10" s="249"/>
      <c r="F10" s="201"/>
      <c r="G10" s="202"/>
    </row>
    <row r="11" spans="2:8">
      <c r="B11" s="199"/>
      <c r="C11" s="249"/>
      <c r="D11" s="249"/>
      <c r="E11" s="249"/>
      <c r="F11" s="201"/>
      <c r="G11" s="202"/>
    </row>
    <row r="12" spans="2:8">
      <c r="B12" s="199"/>
      <c r="C12" s="200"/>
      <c r="D12" s="201"/>
      <c r="E12" s="201"/>
      <c r="F12" s="201"/>
      <c r="G12" s="202"/>
    </row>
    <row r="13" spans="2:8" ht="69" customHeight="1">
      <c r="B13" s="252" t="s">
        <v>137</v>
      </c>
      <c r="C13" s="253"/>
      <c r="D13" s="253"/>
      <c r="E13" s="250">
        <v>500000</v>
      </c>
      <c r="F13" s="250"/>
      <c r="G13" s="251"/>
    </row>
    <row r="14" spans="2:8" ht="16.149999999999999" customHeight="1">
      <c r="B14" s="199"/>
      <c r="C14" s="205"/>
      <c r="D14" s="203"/>
      <c r="E14" s="203"/>
      <c r="F14" s="204"/>
      <c r="G14" s="202"/>
    </row>
    <row r="15" spans="2:8" ht="14.25">
      <c r="B15" s="199"/>
      <c r="C15" s="206"/>
      <c r="D15" s="207"/>
      <c r="E15" s="207"/>
      <c r="F15" s="208">
        <f>VLOOKUP($E$13,Tarif!$C$88:$F$108,4,TRUE)</f>
        <v>-0.35</v>
      </c>
      <c r="G15" s="209">
        <f>1.3+(F15)</f>
        <v>0.95000000000000007</v>
      </c>
    </row>
    <row r="16" spans="2:8" ht="26.25">
      <c r="B16" s="199"/>
      <c r="C16" s="220" t="s">
        <v>47</v>
      </c>
      <c r="D16" s="223" t="s">
        <v>132</v>
      </c>
      <c r="E16" s="217" t="s">
        <v>48</v>
      </c>
      <c r="F16" s="215"/>
      <c r="G16" s="202"/>
      <c r="H16" s="193"/>
    </row>
    <row r="17" spans="2:8" ht="87" customHeight="1">
      <c r="B17" s="199"/>
      <c r="C17" s="219" t="s">
        <v>36</v>
      </c>
      <c r="D17" s="224"/>
      <c r="E17" s="218"/>
      <c r="F17" s="220" t="s">
        <v>46</v>
      </c>
      <c r="G17" s="202"/>
    </row>
    <row r="18" spans="2:8" ht="20.45" customHeight="1">
      <c r="B18" s="199"/>
      <c r="C18" s="216"/>
      <c r="D18" s="220" t="s">
        <v>133</v>
      </c>
      <c r="E18" s="220" t="s">
        <v>133</v>
      </c>
      <c r="F18" s="220" t="s">
        <v>133</v>
      </c>
      <c r="G18" s="202"/>
    </row>
    <row r="19" spans="2:8" ht="16.5">
      <c r="B19" s="199"/>
      <c r="C19" s="216">
        <v>100000</v>
      </c>
      <c r="D19" s="221">
        <f>('Blitztarif Basis + Optional'!H8*'Blitztarif Basis + Optional (2)'!$G$15)*1.29</f>
        <v>235.72722594973183</v>
      </c>
      <c r="E19" s="221">
        <f>('Blitztarif Basis + Optional'!I8*'Blitztarif Basis + Optional (2)'!$G$15)*1.29</f>
        <v>147.37968669344858</v>
      </c>
      <c r="F19" s="221">
        <f>(D19+E19)*1.3</f>
        <v>498.03898643613456</v>
      </c>
      <c r="G19" s="202"/>
    </row>
    <row r="20" spans="2:8" ht="16.5">
      <c r="B20" s="199"/>
      <c r="C20" s="216">
        <v>250000</v>
      </c>
      <c r="D20" s="221">
        <f>('Blitztarif Basis + Optional'!H9*'Blitztarif Basis + Optional (2)'!$G$15)*1.29</f>
        <v>517.58324390074949</v>
      </c>
      <c r="E20" s="221">
        <f>('Blitztarif Basis + Optional'!I9*'Blitztarif Basis + Optional (2)'!$G$15)*1.29</f>
        <v>388.49380792556815</v>
      </c>
      <c r="F20" s="221">
        <f>(D20+E20)*1.3</f>
        <v>1177.900167374213</v>
      </c>
      <c r="G20" s="202"/>
    </row>
    <row r="21" spans="2:8" ht="16.5">
      <c r="B21" s="199"/>
      <c r="C21" s="216">
        <v>500000</v>
      </c>
      <c r="D21" s="221">
        <f>('Blitztarif Basis + Optional'!H10*'Blitztarif Basis + Optional (2)'!$G$15)*1.29</f>
        <v>1009.51131341144</v>
      </c>
      <c r="E21" s="221">
        <f>('Blitztarif Basis + Optional'!I10*'Blitztarif Basis + Optional (2)'!$G$15)*1.29</f>
        <v>613.13723505857877</v>
      </c>
      <c r="F21" s="221">
        <f>(D21+E21)*1.3</f>
        <v>2109.4431130110247</v>
      </c>
      <c r="G21" s="202"/>
    </row>
    <row r="22" spans="2:8" ht="16.5">
      <c r="B22" s="199"/>
      <c r="C22" s="216">
        <v>1000000</v>
      </c>
      <c r="D22" s="221">
        <f>('Blitztarif Basis + Optional'!H11*'Blitztarif Basis + Optional (2)'!$G$15)*1.29</f>
        <v>1963.4149954817353</v>
      </c>
      <c r="E22" s="221">
        <f>('Blitztarif Basis + Optional'!I11*'Blitztarif Basis + Optional (2)'!$G$15)*1.29</f>
        <v>1368.3937466113057</v>
      </c>
      <c r="F22" s="221">
        <f>(D22+E22)*1.3</f>
        <v>4331.3513647209538</v>
      </c>
      <c r="G22" s="202"/>
    </row>
    <row r="23" spans="2:8" ht="15">
      <c r="B23" s="199"/>
      <c r="C23" s="211"/>
      <c r="D23" s="211"/>
      <c r="E23" s="211"/>
      <c r="F23" s="211"/>
      <c r="G23" s="202"/>
    </row>
    <row r="24" spans="2:8" ht="15">
      <c r="B24" s="199"/>
      <c r="C24" s="211"/>
      <c r="D24" s="211"/>
      <c r="E24" s="211"/>
      <c r="F24" s="211"/>
      <c r="G24" s="202"/>
    </row>
    <row r="25" spans="2:8" ht="26.25">
      <c r="B25" s="199"/>
      <c r="C25" s="220" t="s">
        <v>50</v>
      </c>
      <c r="D25" s="223" t="s">
        <v>132</v>
      </c>
      <c r="E25" s="217" t="s">
        <v>48</v>
      </c>
      <c r="F25" s="222"/>
      <c r="G25" s="202"/>
      <c r="H25" s="193"/>
    </row>
    <row r="26" spans="2:8" ht="87" customHeight="1">
      <c r="B26" s="199"/>
      <c r="C26" s="219" t="s">
        <v>36</v>
      </c>
      <c r="D26" s="224"/>
      <c r="E26" s="218"/>
      <c r="F26" s="220" t="s">
        <v>46</v>
      </c>
      <c r="G26" s="202"/>
    </row>
    <row r="27" spans="2:8" ht="20.45" customHeight="1">
      <c r="B27" s="199"/>
      <c r="C27" s="216"/>
      <c r="D27" s="220" t="s">
        <v>133</v>
      </c>
      <c r="E27" s="220" t="s">
        <v>133</v>
      </c>
      <c r="F27" s="220" t="s">
        <v>133</v>
      </c>
      <c r="G27" s="202"/>
    </row>
    <row r="28" spans="2:8" ht="16.5">
      <c r="B28" s="199"/>
      <c r="C28" s="216">
        <v>100000</v>
      </c>
      <c r="D28" s="221">
        <f>('Blitztarif Basis + Optional'!H17*'Blitztarif Basis + Optional (2)'!$G$15)*1.29</f>
        <v>390.34837338689664</v>
      </c>
      <c r="E28" s="221">
        <f>('Blitztarif Basis + Optional'!I17*'Blitztarif Basis + Optional (2)'!$G$15)*1.29</f>
        <v>294.65281115574749</v>
      </c>
      <c r="F28" s="221">
        <f>(D28+E28)*1.3</f>
        <v>890.50153990543731</v>
      </c>
      <c r="G28" s="202"/>
    </row>
    <row r="29" spans="2:8" ht="16.5">
      <c r="B29" s="199"/>
      <c r="C29" s="216">
        <v>250000</v>
      </c>
      <c r="D29" s="221">
        <f>('Blitztarif Basis + Optional'!H18*'Blitztarif Basis + Optional (2)'!$G$15)*1.29</f>
        <v>862.77261585113649</v>
      </c>
      <c r="E29" s="221">
        <f>('Blitztarif Basis + Optional'!I18*'Blitztarif Basis + Optional (2)'!$G$15)*1.29</f>
        <v>688.33967987594701</v>
      </c>
      <c r="F29" s="221">
        <f>(D29+E29)*1.3</f>
        <v>2016.4459844452088</v>
      </c>
      <c r="G29" s="202"/>
    </row>
    <row r="30" spans="2:8" ht="16.5">
      <c r="B30" s="199"/>
      <c r="C30" s="216">
        <v>500000</v>
      </c>
      <c r="D30" s="221">
        <f>('Blitztarif Basis + Optional'!H19*'Blitztarif Basis + Optional (2)'!$G$15)*1.29</f>
        <v>1606.1794701171596</v>
      </c>
      <c r="E30" s="221">
        <f>('Blitztarif Basis + Optional'!I19*'Blitztarif Basis + Optional (2)'!$G$15)*1.29</f>
        <v>1307.8453917642994</v>
      </c>
      <c r="F30" s="221">
        <f>(D30+E30)*1.3</f>
        <v>3788.2323204458967</v>
      </c>
      <c r="G30" s="202"/>
    </row>
    <row r="31" spans="2:8" ht="16.5">
      <c r="B31" s="199"/>
      <c r="C31" s="216">
        <v>1000000</v>
      </c>
      <c r="D31" s="221">
        <f>('Blitztarif Basis + Optional'!H20*'Blitztarif Basis + Optional (2)'!$G$15)*1.29</f>
        <v>3018.6524932226043</v>
      </c>
      <c r="E31" s="221">
        <f>('Blitztarif Basis + Optional'!I20*'Blitztarif Basis + Optional (2)'!$G$15)*1.29</f>
        <v>2484.9062443521693</v>
      </c>
      <c r="F31" s="221">
        <f>(D31+E31)*1.3</f>
        <v>7154.6263588472057</v>
      </c>
      <c r="G31" s="202"/>
    </row>
    <row r="32" spans="2:8">
      <c r="B32" s="199"/>
      <c r="C32" s="200"/>
      <c r="D32" s="201"/>
      <c r="E32" s="201"/>
      <c r="F32" s="201"/>
      <c r="G32" s="202"/>
    </row>
    <row r="33" spans="2:8">
      <c r="B33" s="199"/>
      <c r="C33" s="200"/>
      <c r="D33" s="207"/>
      <c r="E33" s="207"/>
      <c r="F33" s="207"/>
      <c r="G33" s="202"/>
    </row>
    <row r="34" spans="2:8" ht="29.45" customHeight="1">
      <c r="B34" s="199"/>
      <c r="C34" s="220" t="s">
        <v>49</v>
      </c>
      <c r="D34" s="223" t="s">
        <v>132</v>
      </c>
      <c r="E34" s="217" t="s">
        <v>48</v>
      </c>
      <c r="F34" s="222"/>
      <c r="G34" s="202"/>
      <c r="H34" s="193"/>
    </row>
    <row r="35" spans="2:8" ht="87" customHeight="1">
      <c r="B35" s="199"/>
      <c r="C35" s="219" t="s">
        <v>36</v>
      </c>
      <c r="D35" s="224"/>
      <c r="E35" s="218"/>
      <c r="F35" s="220" t="s">
        <v>46</v>
      </c>
      <c r="G35" s="202"/>
    </row>
    <row r="36" spans="2:8" ht="20.45" customHeight="1">
      <c r="B36" s="199"/>
      <c r="C36" s="216"/>
      <c r="D36" s="220" t="s">
        <v>133</v>
      </c>
      <c r="E36" s="220" t="s">
        <v>133</v>
      </c>
      <c r="F36" s="220" t="s">
        <v>133</v>
      </c>
      <c r="G36" s="202"/>
    </row>
    <row r="37" spans="2:8" ht="16.5">
      <c r="B37" s="199"/>
      <c r="C37" s="216">
        <v>100000</v>
      </c>
      <c r="D37" s="221">
        <f>('Blitztarif Basis + Optional'!H26*'Blitztarif Basis + Optional (2)'!$G$15)*1.29</f>
        <v>557.22949784919467</v>
      </c>
      <c r="E37" s="221">
        <f>('Blitztarif Basis + Optional'!I26*'Blitztarif Basis + Optional (2)'!$G$15)*1.29</f>
        <v>432.15745636176297</v>
      </c>
      <c r="F37" s="221">
        <f>(D37+E37)*1.3</f>
        <v>1286.203040474245</v>
      </c>
      <c r="G37" s="202"/>
    </row>
    <row r="38" spans="2:8" ht="16.5">
      <c r="B38" s="199"/>
      <c r="C38" s="216">
        <v>250000</v>
      </c>
      <c r="D38" s="221">
        <f>('Blitztarif Basis + Optional'!H27*'Blitztarif Basis + Optional (2)'!$G$15)*1.29</f>
        <v>1292.565862884217</v>
      </c>
      <c r="E38" s="221">
        <f>('Blitztarif Basis + Optional'!I27*'Blitztarif Basis + Optional (2)'!$G$15)*1.29</f>
        <v>887.01486381805523</v>
      </c>
      <c r="F38" s="221">
        <f>(D38+E38)*1.3</f>
        <v>2833.4549447129543</v>
      </c>
      <c r="G38" s="202"/>
    </row>
    <row r="39" spans="2:8" ht="16.5">
      <c r="B39" s="199"/>
      <c r="C39" s="216">
        <v>500000</v>
      </c>
      <c r="D39" s="221">
        <f>('Blitztarif Basis + Optional'!H28*'Blitztarif Basis + Optional (2)'!$G$15)*1.29</f>
        <v>2471.2321268228698</v>
      </c>
      <c r="E39" s="221">
        <f>('Blitztarif Basis + Optional'!I28*'Blitztarif Basis + Optional (2)'!$G$15)*1.29</f>
        <v>1795.6232412543079</v>
      </c>
      <c r="F39" s="221">
        <f>(D39+E39)*1.3</f>
        <v>5546.9119785003313</v>
      </c>
      <c r="G39" s="202"/>
    </row>
    <row r="40" spans="2:8" ht="16.5">
      <c r="B40" s="199"/>
      <c r="C40" s="216">
        <v>1000000</v>
      </c>
      <c r="D40" s="221">
        <f>('Blitztarif Basis + Optional'!H29*'Blitztarif Basis + Optional (2)'!$G$15)*1.29</f>
        <v>4674.3849909634728</v>
      </c>
      <c r="E40" s="221">
        <f>('Blitztarif Basis + Optional'!I29*'Blitztarif Basis + Optional (2)'!$G$15)*1.29</f>
        <v>3338.1541583831813</v>
      </c>
      <c r="F40" s="221">
        <f>(D40+E40)*1.3</f>
        <v>10416.30089415065</v>
      </c>
      <c r="G40" s="202"/>
    </row>
    <row r="41" spans="2:8" ht="13.5" thickBot="1">
      <c r="B41" s="210"/>
      <c r="C41" s="213"/>
      <c r="D41" s="214"/>
      <c r="E41" s="214"/>
      <c r="F41" s="214"/>
      <c r="G41" s="212"/>
    </row>
    <row r="43" spans="2:8" ht="15.6" customHeight="1">
      <c r="B43" s="227"/>
      <c r="C43" s="254" t="s">
        <v>51</v>
      </c>
      <c r="D43" s="254"/>
      <c r="E43" s="228"/>
      <c r="F43" s="228"/>
      <c r="G43" s="229"/>
    </row>
    <row r="44" spans="2:8" ht="13.5">
      <c r="B44" s="230"/>
      <c r="C44" s="231"/>
      <c r="D44" s="232"/>
      <c r="E44" s="232"/>
      <c r="F44" s="232"/>
      <c r="G44" s="233"/>
    </row>
    <row r="45" spans="2:8" ht="13.15" customHeight="1">
      <c r="B45" s="255" t="s">
        <v>138</v>
      </c>
      <c r="C45" s="256"/>
      <c r="D45" s="256"/>
      <c r="E45" s="256"/>
      <c r="F45" s="256"/>
      <c r="G45" s="257"/>
    </row>
    <row r="46" spans="2:8" ht="13.15" customHeight="1">
      <c r="B46" s="255" t="s">
        <v>142</v>
      </c>
      <c r="C46" s="256"/>
      <c r="D46" s="256"/>
      <c r="E46" s="256"/>
      <c r="F46" s="256"/>
      <c r="G46" s="233"/>
    </row>
    <row r="47" spans="2:8" ht="13.15" customHeight="1">
      <c r="B47" s="255" t="s">
        <v>141</v>
      </c>
      <c r="C47" s="256"/>
      <c r="D47" s="256"/>
      <c r="E47" s="232"/>
      <c r="F47" s="232"/>
      <c r="G47" s="233"/>
    </row>
    <row r="48" spans="2:8" ht="13.15" customHeight="1">
      <c r="B48" s="255" t="s">
        <v>140</v>
      </c>
      <c r="C48" s="256"/>
      <c r="D48" s="232"/>
      <c r="E48" s="232"/>
      <c r="F48" s="232"/>
      <c r="G48" s="233"/>
    </row>
    <row r="49" spans="2:9" ht="13.15" customHeight="1">
      <c r="B49" s="242" t="s">
        <v>139</v>
      </c>
      <c r="C49" s="240"/>
      <c r="D49" s="240"/>
      <c r="E49" s="240"/>
      <c r="F49" s="240"/>
      <c r="G49" s="241"/>
    </row>
    <row r="50" spans="2:9" ht="13.15" customHeight="1">
      <c r="B50" s="258" t="s">
        <v>143</v>
      </c>
      <c r="C50" s="256"/>
      <c r="D50" s="234"/>
      <c r="E50" s="234"/>
      <c r="F50" s="234"/>
      <c r="G50" s="239"/>
    </row>
    <row r="51" spans="2:9" ht="13.15" customHeight="1">
      <c r="B51" s="255" t="s">
        <v>144</v>
      </c>
      <c r="C51" s="256"/>
      <c r="D51" s="256"/>
      <c r="E51" s="256"/>
      <c r="F51" s="256"/>
      <c r="G51" s="257"/>
    </row>
    <row r="52" spans="2:9">
      <c r="B52" s="235"/>
      <c r="C52" s="236"/>
      <c r="D52" s="237"/>
      <c r="E52" s="237"/>
      <c r="F52" s="237"/>
      <c r="G52" s="238"/>
    </row>
    <row r="55" spans="2:9" ht="15.75">
      <c r="B55" s="260" t="s">
        <v>59</v>
      </c>
      <c r="C55" s="260"/>
      <c r="D55" s="260"/>
      <c r="E55" s="225"/>
      <c r="F55" s="225"/>
      <c r="G55" s="225"/>
      <c r="H55" s="225"/>
    </row>
    <row r="56" spans="2:9" ht="15">
      <c r="C56" s="225"/>
      <c r="D56" s="225"/>
      <c r="E56" s="225"/>
      <c r="F56" s="225"/>
      <c r="G56" s="225"/>
      <c r="H56" s="225"/>
    </row>
    <row r="57" spans="2:9" s="194" customFormat="1" ht="13.9" customHeight="1">
      <c r="B57" s="261" t="s">
        <v>47</v>
      </c>
      <c r="C57" s="261"/>
      <c r="D57" s="261" t="s">
        <v>50</v>
      </c>
      <c r="E57" s="261"/>
      <c r="F57" s="244" t="s">
        <v>49</v>
      </c>
      <c r="G57" s="244"/>
      <c r="H57" s="244"/>
      <c r="I57" s="191"/>
    </row>
    <row r="58" spans="2:9" s="194" customFormat="1" ht="24.6" customHeight="1">
      <c r="B58" s="243" t="s">
        <v>2</v>
      </c>
      <c r="C58" s="243"/>
      <c r="D58" s="245" t="s">
        <v>11</v>
      </c>
      <c r="E58" s="245"/>
      <c r="F58" s="245" t="s">
        <v>23</v>
      </c>
      <c r="G58" s="245"/>
      <c r="H58" s="245"/>
      <c r="I58" s="191"/>
    </row>
    <row r="59" spans="2:9" s="194" customFormat="1" ht="24.6" customHeight="1">
      <c r="B59" s="243" t="s">
        <v>3</v>
      </c>
      <c r="C59" s="243"/>
      <c r="D59" s="245" t="s">
        <v>12</v>
      </c>
      <c r="E59" s="245"/>
      <c r="F59" s="245" t="s">
        <v>24</v>
      </c>
      <c r="G59" s="245"/>
      <c r="H59" s="245"/>
    </row>
    <row r="60" spans="2:9" s="194" customFormat="1" ht="24.6" customHeight="1">
      <c r="B60" s="243" t="s">
        <v>5</v>
      </c>
      <c r="C60" s="243"/>
      <c r="D60" s="245" t="s">
        <v>14</v>
      </c>
      <c r="E60" s="245"/>
      <c r="F60" s="245" t="s">
        <v>26</v>
      </c>
      <c r="G60" s="245"/>
      <c r="H60" s="245"/>
    </row>
    <row r="61" spans="2:9" s="194" customFormat="1" ht="24.6" customHeight="1">
      <c r="B61" s="243" t="s">
        <v>7</v>
      </c>
      <c r="C61" s="243"/>
      <c r="D61" s="245" t="s">
        <v>16</v>
      </c>
      <c r="E61" s="245"/>
      <c r="F61" s="245" t="s">
        <v>28</v>
      </c>
      <c r="G61" s="245"/>
      <c r="H61" s="245"/>
    </row>
    <row r="62" spans="2:9" s="194" customFormat="1" ht="24.6" customHeight="1">
      <c r="B62" s="243" t="s">
        <v>8</v>
      </c>
      <c r="C62" s="243"/>
      <c r="D62" s="245" t="s">
        <v>17</v>
      </c>
      <c r="E62" s="245"/>
      <c r="F62" s="245" t="s">
        <v>29</v>
      </c>
      <c r="G62" s="245"/>
      <c r="H62" s="245"/>
    </row>
    <row r="63" spans="2:9" s="194" customFormat="1" ht="24.6" customHeight="1">
      <c r="B63" s="243" t="s">
        <v>9</v>
      </c>
      <c r="C63" s="243"/>
      <c r="D63" s="245" t="s">
        <v>18</v>
      </c>
      <c r="E63" s="245"/>
      <c r="F63" s="245" t="s">
        <v>30</v>
      </c>
      <c r="G63" s="245"/>
      <c r="H63" s="245"/>
    </row>
    <row r="64" spans="2:9" s="194" customFormat="1" ht="24.6" customHeight="1">
      <c r="B64" s="243" t="s">
        <v>10</v>
      </c>
      <c r="C64" s="243"/>
      <c r="D64" s="245" t="s">
        <v>19</v>
      </c>
      <c r="E64" s="245"/>
      <c r="F64" s="245" t="s">
        <v>31</v>
      </c>
      <c r="G64" s="245"/>
      <c r="H64" s="245"/>
    </row>
    <row r="65" spans="2:9" s="194" customFormat="1" ht="24.6" customHeight="1">
      <c r="B65" s="259"/>
      <c r="C65" s="259"/>
      <c r="D65" s="245" t="s">
        <v>20</v>
      </c>
      <c r="E65" s="245"/>
      <c r="F65" s="245" t="s">
        <v>32</v>
      </c>
      <c r="G65" s="245"/>
      <c r="H65" s="245"/>
    </row>
    <row r="66" spans="2:9" s="194" customFormat="1" ht="24.6" customHeight="1">
      <c r="B66" s="259"/>
      <c r="C66" s="259"/>
      <c r="D66" s="245" t="s">
        <v>21</v>
      </c>
      <c r="E66" s="245"/>
      <c r="F66" s="245" t="s">
        <v>33</v>
      </c>
      <c r="G66" s="245"/>
      <c r="H66" s="245"/>
    </row>
    <row r="67" spans="2:9" s="194" customFormat="1" ht="24.6" customHeight="1">
      <c r="B67" s="259"/>
      <c r="C67" s="259"/>
      <c r="D67" s="245" t="s">
        <v>22</v>
      </c>
      <c r="E67" s="245"/>
      <c r="F67" s="245" t="s">
        <v>34</v>
      </c>
      <c r="G67" s="245"/>
      <c r="H67" s="245"/>
    </row>
    <row r="68" spans="2:9" s="194" customFormat="1" ht="24.6" customHeight="1">
      <c r="B68" s="259"/>
      <c r="C68" s="259"/>
      <c r="D68" s="246"/>
      <c r="E68" s="247"/>
      <c r="F68" s="245" t="s">
        <v>35</v>
      </c>
      <c r="G68" s="245"/>
      <c r="H68" s="245"/>
    </row>
    <row r="69" spans="2:9" ht="15">
      <c r="C69" s="226"/>
      <c r="D69" s="225"/>
      <c r="E69" s="225"/>
      <c r="F69" s="225"/>
      <c r="G69" s="225"/>
      <c r="H69" s="225"/>
      <c r="I69" s="194"/>
    </row>
    <row r="70" spans="2:9">
      <c r="I70" s="194"/>
    </row>
  </sheetData>
  <mergeCells count="47">
    <mergeCell ref="B65:C65"/>
    <mergeCell ref="B66:C66"/>
    <mergeCell ref="B67:C67"/>
    <mergeCell ref="B68:C68"/>
    <mergeCell ref="B55:D55"/>
    <mergeCell ref="B59:C59"/>
    <mergeCell ref="B60:C60"/>
    <mergeCell ref="B61:C61"/>
    <mergeCell ref="B62:C62"/>
    <mergeCell ref="B63:C63"/>
    <mergeCell ref="B64:C64"/>
    <mergeCell ref="D66:E66"/>
    <mergeCell ref="D63:E63"/>
    <mergeCell ref="D60:E60"/>
    <mergeCell ref="D57:E57"/>
    <mergeCell ref="B57:C57"/>
    <mergeCell ref="B46:F46"/>
    <mergeCell ref="B47:D47"/>
    <mergeCell ref="B48:C48"/>
    <mergeCell ref="B51:G51"/>
    <mergeCell ref="B50:C50"/>
    <mergeCell ref="C4:E11"/>
    <mergeCell ref="E13:G13"/>
    <mergeCell ref="B13:D13"/>
    <mergeCell ref="C43:D43"/>
    <mergeCell ref="B45:G45"/>
    <mergeCell ref="F66:H66"/>
    <mergeCell ref="D67:E67"/>
    <mergeCell ref="F67:H67"/>
    <mergeCell ref="D68:E68"/>
    <mergeCell ref="F68:H68"/>
    <mergeCell ref="F63:H63"/>
    <mergeCell ref="D64:E64"/>
    <mergeCell ref="F64:H64"/>
    <mergeCell ref="D65:E65"/>
    <mergeCell ref="F65:H65"/>
    <mergeCell ref="F60:H60"/>
    <mergeCell ref="D61:E61"/>
    <mergeCell ref="F61:H61"/>
    <mergeCell ref="D62:E62"/>
    <mergeCell ref="F62:H62"/>
    <mergeCell ref="B58:C58"/>
    <mergeCell ref="F57:H57"/>
    <mergeCell ref="D58:E58"/>
    <mergeCell ref="F58:H58"/>
    <mergeCell ref="D59:E59"/>
    <mergeCell ref="F59:H59"/>
  </mergeCells>
  <pageMargins left="0.23" right="0.27" top="0.78740157480314965" bottom="0.78740157480314965" header="0.31496062992125984" footer="0.31496062992125984"/>
  <pageSetup paperSize="9" scale="61" orientation="portrait" r:id="rId1"/>
  <rowBreaks count="1" manualBreakCount="1">
    <brk id="3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49"/>
  <sheetViews>
    <sheetView zoomScale="90" zoomScaleNormal="90" workbookViewId="0">
      <selection activeCell="E10" sqref="E10"/>
    </sheetView>
  </sheetViews>
  <sheetFormatPr baseColWidth="10" defaultRowHeight="12.75"/>
  <cols>
    <col min="1" max="1" width="4.7109375" customWidth="1"/>
    <col min="2" max="2" width="3.28515625" customWidth="1"/>
    <col min="3" max="3" width="40.140625" style="10" customWidth="1"/>
    <col min="4" max="4" width="11.42578125" customWidth="1"/>
    <col min="5" max="6" width="27.5703125" customWidth="1"/>
    <col min="7" max="7" width="30.42578125" customWidth="1"/>
    <col min="8" max="16" width="27.5703125" customWidth="1"/>
    <col min="17" max="17" width="3.7109375" customWidth="1"/>
  </cols>
  <sheetData>
    <row r="1" spans="2:18" ht="13.5" thickBot="1"/>
    <row r="2" spans="2:18">
      <c r="B2" s="16"/>
      <c r="C2" s="17"/>
      <c r="D2" s="18"/>
      <c r="E2" s="18"/>
      <c r="F2" s="18"/>
      <c r="G2" s="18"/>
      <c r="H2" s="18"/>
      <c r="I2" s="18"/>
      <c r="J2" s="18"/>
      <c r="K2" s="18"/>
      <c r="L2" s="18"/>
      <c r="M2" s="18"/>
      <c r="N2" s="18"/>
      <c r="O2" s="18"/>
      <c r="P2" s="18"/>
      <c r="Q2" s="19"/>
    </row>
    <row r="3" spans="2:18" ht="69" customHeight="1">
      <c r="B3" s="20"/>
      <c r="C3" s="264" t="s">
        <v>135</v>
      </c>
      <c r="D3" s="264"/>
      <c r="E3" s="264"/>
      <c r="F3" s="264"/>
      <c r="G3" s="21"/>
      <c r="H3" s="21"/>
      <c r="I3" s="21"/>
      <c r="J3" s="21"/>
      <c r="K3" s="21"/>
      <c r="L3" s="21"/>
      <c r="M3" s="21"/>
      <c r="N3" s="21"/>
      <c r="O3" s="189" t="s">
        <v>60</v>
      </c>
      <c r="P3" s="190">
        <v>120000</v>
      </c>
      <c r="Q3" s="22"/>
    </row>
    <row r="4" spans="2:18" ht="14.25">
      <c r="B4" s="20"/>
      <c r="C4" s="23"/>
      <c r="D4" s="3"/>
      <c r="E4" s="3"/>
      <c r="F4" s="3"/>
      <c r="G4" s="3"/>
      <c r="H4" s="3"/>
      <c r="I4" s="3"/>
      <c r="J4" s="3"/>
      <c r="K4" s="3"/>
      <c r="L4" s="3"/>
      <c r="M4" s="3"/>
      <c r="N4" s="3"/>
      <c r="O4" s="3"/>
      <c r="P4" s="3">
        <f>VLOOKUP($P$3,Tarif!$C$88:$F$108,4,TRUE)</f>
        <v>-0.4</v>
      </c>
      <c r="Q4" s="22"/>
    </row>
    <row r="5" spans="2:18" ht="25.5">
      <c r="B5" s="20"/>
      <c r="C5" s="11" t="s">
        <v>47</v>
      </c>
      <c r="D5" s="3"/>
      <c r="E5" s="265" t="s">
        <v>44</v>
      </c>
      <c r="F5" s="265"/>
      <c r="G5" s="265"/>
      <c r="H5" s="265"/>
      <c r="I5" s="266" t="s">
        <v>48</v>
      </c>
      <c r="J5" s="266"/>
      <c r="K5" s="266"/>
      <c r="L5" s="266"/>
      <c r="M5" s="266"/>
      <c r="N5" s="266"/>
      <c r="O5" s="13" t="s">
        <v>48</v>
      </c>
      <c r="P5" s="24"/>
      <c r="Q5" s="22"/>
      <c r="R5" s="1"/>
    </row>
    <row r="6" spans="2:18" ht="87" customHeight="1">
      <c r="B6" s="20"/>
      <c r="C6" s="4" t="s">
        <v>36</v>
      </c>
      <c r="D6" s="5" t="s">
        <v>0</v>
      </c>
      <c r="E6" s="8" t="s">
        <v>37</v>
      </c>
      <c r="F6" s="8" t="s">
        <v>40</v>
      </c>
      <c r="G6" s="8" t="s">
        <v>41</v>
      </c>
      <c r="H6" s="14"/>
      <c r="I6" s="9" t="s">
        <v>39</v>
      </c>
      <c r="J6" s="9" t="s">
        <v>38</v>
      </c>
      <c r="K6" s="9" t="s">
        <v>45</v>
      </c>
      <c r="L6" s="9" t="s">
        <v>134</v>
      </c>
      <c r="M6" s="9" t="s">
        <v>136</v>
      </c>
      <c r="N6" s="9" t="s">
        <v>42</v>
      </c>
      <c r="O6" s="9"/>
      <c r="P6" s="11" t="s">
        <v>46</v>
      </c>
      <c r="Q6" s="22"/>
    </row>
    <row r="7" spans="2:18" ht="20.45" customHeight="1">
      <c r="B7" s="20"/>
      <c r="C7" s="7"/>
      <c r="D7" s="6" t="s">
        <v>1</v>
      </c>
      <c r="E7" s="6" t="s">
        <v>43</v>
      </c>
      <c r="F7" s="6" t="s">
        <v>43</v>
      </c>
      <c r="G7" s="6" t="s">
        <v>43</v>
      </c>
      <c r="H7" s="11" t="s">
        <v>43</v>
      </c>
      <c r="I7" s="6" t="s">
        <v>43</v>
      </c>
      <c r="J7" s="6" t="s">
        <v>43</v>
      </c>
      <c r="K7" s="6" t="s">
        <v>43</v>
      </c>
      <c r="L7" s="6" t="s">
        <v>43</v>
      </c>
      <c r="M7" s="6" t="s">
        <v>43</v>
      </c>
      <c r="N7" s="6" t="s">
        <v>43</v>
      </c>
      <c r="O7" s="6" t="s">
        <v>43</v>
      </c>
      <c r="P7" s="11" t="s">
        <v>43</v>
      </c>
      <c r="Q7" s="22"/>
    </row>
    <row r="8" spans="2:18" ht="15.75">
      <c r="B8" s="20"/>
      <c r="C8" s="7">
        <v>100000</v>
      </c>
      <c r="D8" s="6">
        <v>320.579693899902</v>
      </c>
      <c r="E8" s="6">
        <v>80.148984694994994</v>
      </c>
      <c r="F8" s="6">
        <v>96.173908169970602</v>
      </c>
      <c r="G8" s="6">
        <v>16.028984694995099</v>
      </c>
      <c r="H8" s="12">
        <f>SUM(E8:G8)</f>
        <v>192.35187755996068</v>
      </c>
      <c r="I8" s="6">
        <v>120.260862254956</v>
      </c>
      <c r="J8" s="6">
        <v>48.086954084985301</v>
      </c>
      <c r="K8" s="6">
        <v>32.057969389990198</v>
      </c>
      <c r="L8" s="6">
        <v>48.086954084985301</v>
      </c>
      <c r="M8" s="6">
        <v>48.086954084985301</v>
      </c>
      <c r="N8" s="6">
        <v>16.028984694995099</v>
      </c>
      <c r="O8" s="6">
        <f>SUM(I8:N8)</f>
        <v>312.60867859489719</v>
      </c>
      <c r="P8" s="12">
        <f>SUM(H8+O8)</f>
        <v>504.96055615485784</v>
      </c>
      <c r="Q8" s="22"/>
    </row>
    <row r="9" spans="2:18" ht="15.75">
      <c r="B9" s="20"/>
      <c r="C9" s="7">
        <v>250000</v>
      </c>
      <c r="D9" s="6">
        <v>748.90758044438678</v>
      </c>
      <c r="E9" s="6">
        <v>160.22689511108999</v>
      </c>
      <c r="F9" s="6">
        <v>224.67227413331602</v>
      </c>
      <c r="G9" s="6">
        <v>37.445379022219342</v>
      </c>
      <c r="H9" s="12">
        <f t="shared" ref="H9:H11" si="0">SUM(E9:G9)</f>
        <v>422.3445482666254</v>
      </c>
      <c r="I9" s="6">
        <v>317.00841119997398</v>
      </c>
      <c r="J9" s="6">
        <v>112.33613706665801</v>
      </c>
      <c r="K9" s="6">
        <v>74.890758044438684</v>
      </c>
      <c r="L9" s="6">
        <v>112.33613706665801</v>
      </c>
      <c r="M9" s="6">
        <v>112.33613706665801</v>
      </c>
      <c r="N9" s="6">
        <v>37.445379022219342</v>
      </c>
      <c r="O9" s="6">
        <f t="shared" ref="O9:O11" si="1">SUM(I9:N9)</f>
        <v>766.35295946660597</v>
      </c>
      <c r="P9" s="12">
        <f t="shared" ref="P9:P11" si="2">SUM(H9+O9)</f>
        <v>1188.6975077332313</v>
      </c>
      <c r="Q9" s="22"/>
    </row>
    <row r="10" spans="2:18" ht="15.75">
      <c r="B10" s="20"/>
      <c r="C10" s="7">
        <v>500000</v>
      </c>
      <c r="D10" s="6">
        <v>1422.924402844335</v>
      </c>
      <c r="E10" s="6">
        <v>325.73110071108403</v>
      </c>
      <c r="F10" s="6">
        <v>426.87732085330049</v>
      </c>
      <c r="G10" s="6">
        <v>71.146220142216748</v>
      </c>
      <c r="H10" s="12">
        <f t="shared" si="0"/>
        <v>823.75464170660132</v>
      </c>
      <c r="I10" s="6">
        <v>500.31598127994999</v>
      </c>
      <c r="J10" s="6">
        <v>213.43866042665024</v>
      </c>
      <c r="K10" s="6">
        <v>142.2924402844335</v>
      </c>
      <c r="L10" s="6">
        <v>213.43866042665024</v>
      </c>
      <c r="M10" s="6">
        <v>213.43866042665024</v>
      </c>
      <c r="N10" s="6">
        <v>71.146220142216748</v>
      </c>
      <c r="O10" s="6">
        <f t="shared" si="1"/>
        <v>1354.0706229865509</v>
      </c>
      <c r="P10" s="12">
        <f t="shared" si="2"/>
        <v>2177.8252646931523</v>
      </c>
      <c r="Q10" s="22"/>
    </row>
    <row r="11" spans="2:18" ht="15.75">
      <c r="B11" s="20"/>
      <c r="C11" s="7">
        <v>1000000</v>
      </c>
      <c r="D11" s="6">
        <v>2703.5563654042367</v>
      </c>
      <c r="E11" s="6">
        <v>655.88909135105905</v>
      </c>
      <c r="F11" s="6">
        <v>811.06690962127095</v>
      </c>
      <c r="G11" s="6">
        <v>135.17781827021184</v>
      </c>
      <c r="H11" s="12">
        <f t="shared" si="0"/>
        <v>1602.1338192425419</v>
      </c>
      <c r="I11" s="6">
        <v>1116.6003644319101</v>
      </c>
      <c r="J11" s="6">
        <v>405.53345481063548</v>
      </c>
      <c r="K11" s="6">
        <v>270.35563654042369</v>
      </c>
      <c r="L11" s="6">
        <v>405.53345481063548</v>
      </c>
      <c r="M11" s="6">
        <v>405.53345481063548</v>
      </c>
      <c r="N11" s="6">
        <v>135.17781827021184</v>
      </c>
      <c r="O11" s="6">
        <f t="shared" si="1"/>
        <v>2738.7341836744527</v>
      </c>
      <c r="P11" s="12">
        <f t="shared" si="2"/>
        <v>4340.8680029169946</v>
      </c>
      <c r="Q11" s="22"/>
    </row>
    <row r="12" spans="2:18" ht="15">
      <c r="B12" s="20"/>
      <c r="C12" s="2"/>
      <c r="D12" s="2"/>
      <c r="E12" s="2"/>
      <c r="F12" s="2"/>
      <c r="G12" s="2"/>
      <c r="H12" s="2"/>
      <c r="I12" s="2"/>
      <c r="J12" s="2"/>
      <c r="K12" s="2"/>
      <c r="L12" s="2"/>
      <c r="M12" s="2"/>
      <c r="N12" s="2"/>
      <c r="O12" s="2"/>
      <c r="P12" s="2"/>
      <c r="Q12" s="22"/>
    </row>
    <row r="13" spans="2:18" ht="15">
      <c r="B13" s="20"/>
      <c r="C13" s="2"/>
      <c r="D13" s="2"/>
      <c r="E13" s="2"/>
      <c r="F13" s="2"/>
      <c r="G13" s="2"/>
      <c r="H13" s="2"/>
      <c r="I13" s="2"/>
      <c r="J13" s="2"/>
      <c r="K13" s="2"/>
      <c r="L13" s="2"/>
      <c r="M13" s="2"/>
      <c r="N13" s="2"/>
      <c r="O13" s="2"/>
      <c r="P13" s="2"/>
      <c r="Q13" s="22"/>
    </row>
    <row r="14" spans="2:18" ht="25.5">
      <c r="B14" s="20"/>
      <c r="C14" s="11" t="s">
        <v>50</v>
      </c>
      <c r="D14" s="3"/>
      <c r="E14" s="265" t="s">
        <v>44</v>
      </c>
      <c r="F14" s="265"/>
      <c r="G14" s="265"/>
      <c r="H14" s="265"/>
      <c r="I14" s="266" t="s">
        <v>48</v>
      </c>
      <c r="J14" s="266"/>
      <c r="K14" s="266"/>
      <c r="L14" s="266"/>
      <c r="M14" s="266"/>
      <c r="N14" s="266"/>
      <c r="O14" s="13" t="s">
        <v>48</v>
      </c>
      <c r="P14" s="24"/>
      <c r="Q14" s="22"/>
      <c r="R14" s="1"/>
    </row>
    <row r="15" spans="2:18" ht="87" customHeight="1">
      <c r="B15" s="20"/>
      <c r="C15" s="4" t="s">
        <v>36</v>
      </c>
      <c r="D15" s="5" t="s">
        <v>0</v>
      </c>
      <c r="E15" s="8" t="s">
        <v>37</v>
      </c>
      <c r="F15" s="8" t="s">
        <v>40</v>
      </c>
      <c r="G15" s="8" t="s">
        <v>41</v>
      </c>
      <c r="H15" s="14"/>
      <c r="I15" s="9" t="s">
        <v>39</v>
      </c>
      <c r="J15" s="9" t="s">
        <v>38</v>
      </c>
      <c r="K15" s="9" t="s">
        <v>45</v>
      </c>
      <c r="L15" s="9" t="s">
        <v>134</v>
      </c>
      <c r="M15" s="9" t="s">
        <v>136</v>
      </c>
      <c r="N15" s="9" t="s">
        <v>42</v>
      </c>
      <c r="O15" s="9"/>
      <c r="P15" s="11" t="s">
        <v>46</v>
      </c>
      <c r="Q15" s="22"/>
    </row>
    <row r="16" spans="2:18" ht="20.45" customHeight="1">
      <c r="B16" s="20"/>
      <c r="C16" s="7"/>
      <c r="D16" s="6" t="s">
        <v>1</v>
      </c>
      <c r="E16" s="6" t="s">
        <v>43</v>
      </c>
      <c r="F16" s="6" t="s">
        <v>43</v>
      </c>
      <c r="G16" s="6" t="s">
        <v>43</v>
      </c>
      <c r="H16" s="11" t="s">
        <v>43</v>
      </c>
      <c r="I16" s="6" t="s">
        <v>43</v>
      </c>
      <c r="J16" s="6" t="s">
        <v>43</v>
      </c>
      <c r="K16" s="6" t="s">
        <v>43</v>
      </c>
      <c r="L16" s="6" t="s">
        <v>43</v>
      </c>
      <c r="M16" s="6"/>
      <c r="N16" s="6" t="s">
        <v>43</v>
      </c>
      <c r="O16" s="6" t="s">
        <v>43</v>
      </c>
      <c r="P16" s="11" t="s">
        <v>43</v>
      </c>
      <c r="Q16" s="22"/>
    </row>
    <row r="17" spans="2:18" ht="15.75">
      <c r="B17" s="20"/>
      <c r="C17" s="7">
        <v>100000</v>
      </c>
      <c r="D17" s="6">
        <f>+D8*1.5</f>
        <v>480.86954084985302</v>
      </c>
      <c r="E17" s="6">
        <v>150.217385212463</v>
      </c>
      <c r="F17" s="6">
        <v>144.2608622549559</v>
      </c>
      <c r="G17" s="6">
        <v>24.043477042492654</v>
      </c>
      <c r="H17" s="12">
        <f>SUM(E17:G17)</f>
        <v>318.52172450991156</v>
      </c>
      <c r="I17" s="6">
        <v>240.43477042492654</v>
      </c>
      <c r="J17" s="6">
        <v>96.173908169970616</v>
      </c>
      <c r="K17" s="6">
        <v>72.130431127477948</v>
      </c>
      <c r="L17" s="6">
        <v>96.173908169970616</v>
      </c>
      <c r="M17" s="6">
        <v>96.173908169970616</v>
      </c>
      <c r="N17" s="6">
        <v>48.086954084985308</v>
      </c>
      <c r="O17" s="6">
        <f>SUM(I17:N17)</f>
        <v>649.17388014730159</v>
      </c>
      <c r="P17" s="12">
        <f>H17+O17</f>
        <v>967.69560465721315</v>
      </c>
      <c r="Q17" s="22"/>
    </row>
    <row r="18" spans="2:18" ht="15.75">
      <c r="B18" s="20"/>
      <c r="C18" s="7">
        <v>250000</v>
      </c>
      <c r="D18" s="6">
        <f>+D9*1.5</f>
        <v>1123.3613706665801</v>
      </c>
      <c r="E18" s="6">
        <v>310.84034266664497</v>
      </c>
      <c r="F18" s="6">
        <v>337.00841119997403</v>
      </c>
      <c r="G18" s="6">
        <v>56.168068533329006</v>
      </c>
      <c r="H18" s="12">
        <f t="shared" ref="H18:H20" si="3">SUM(E18:G18)</f>
        <v>704.01682239994807</v>
      </c>
      <c r="I18" s="6">
        <v>561.68068533329006</v>
      </c>
      <c r="J18" s="6">
        <v>224.67227413331602</v>
      </c>
      <c r="K18" s="6">
        <v>168.50420559998702</v>
      </c>
      <c r="L18" s="6">
        <v>224.67227413331602</v>
      </c>
      <c r="M18" s="6">
        <v>224.67227413331602</v>
      </c>
      <c r="N18" s="6">
        <v>112.33613706665801</v>
      </c>
      <c r="O18" s="6">
        <f t="shared" ref="O18:O20" si="4">SUM(I18:N18)</f>
        <v>1516.5378503998832</v>
      </c>
      <c r="P18" s="12">
        <f t="shared" ref="P18:P20" si="5">H18+O18</f>
        <v>2220.5546727998312</v>
      </c>
      <c r="Q18" s="22"/>
    </row>
    <row r="19" spans="2:18" ht="15.75">
      <c r="B19" s="20"/>
      <c r="C19" s="7">
        <v>500000</v>
      </c>
      <c r="D19" s="6">
        <f>+D10*1.5</f>
        <v>2134.3866042665022</v>
      </c>
      <c r="E19" s="6">
        <v>563.59665106662601</v>
      </c>
      <c r="F19" s="6">
        <v>640.31598127995062</v>
      </c>
      <c r="G19" s="6">
        <v>106.71933021332512</v>
      </c>
      <c r="H19" s="12">
        <f t="shared" si="3"/>
        <v>1310.6319625599017</v>
      </c>
      <c r="I19" s="6">
        <v>1067.1933021332511</v>
      </c>
      <c r="J19" s="6">
        <v>426.87732085330049</v>
      </c>
      <c r="K19" s="6">
        <v>320.15799063997531</v>
      </c>
      <c r="L19" s="6">
        <v>426.87732085330049</v>
      </c>
      <c r="M19" s="6">
        <v>426.87732085330049</v>
      </c>
      <c r="N19" s="6">
        <v>213.43866042665024</v>
      </c>
      <c r="O19" s="6">
        <f t="shared" si="4"/>
        <v>2881.4219157597781</v>
      </c>
      <c r="P19" s="12">
        <f t="shared" si="5"/>
        <v>4192.0538783196798</v>
      </c>
      <c r="Q19" s="22"/>
    </row>
    <row r="20" spans="2:18" ht="15.75">
      <c r="B20" s="20"/>
      <c r="C20" s="7">
        <v>1000000</v>
      </c>
      <c r="D20" s="6">
        <f>+D11*1.5</f>
        <v>4055.3345481063552</v>
      </c>
      <c r="E20" s="6">
        <v>1043.8336370265899</v>
      </c>
      <c r="F20" s="6">
        <v>1216.6003644319064</v>
      </c>
      <c r="G20" s="6">
        <v>202.76672740531777</v>
      </c>
      <c r="H20" s="12">
        <f t="shared" si="3"/>
        <v>2463.2007288638142</v>
      </c>
      <c r="I20" s="6">
        <v>2027.6672740531776</v>
      </c>
      <c r="J20" s="6">
        <v>811.06690962127107</v>
      </c>
      <c r="K20" s="6">
        <v>608.30018221595321</v>
      </c>
      <c r="L20" s="6">
        <v>811.06690962127107</v>
      </c>
      <c r="M20" s="6">
        <v>811.06690962127107</v>
      </c>
      <c r="N20" s="6">
        <v>405.53345481063553</v>
      </c>
      <c r="O20" s="6">
        <f t="shared" si="4"/>
        <v>5474.7016399435797</v>
      </c>
      <c r="P20" s="12">
        <f t="shared" si="5"/>
        <v>7937.9023688073939</v>
      </c>
      <c r="Q20" s="22"/>
    </row>
    <row r="21" spans="2:18">
      <c r="B21" s="20"/>
      <c r="C21" s="25"/>
      <c r="D21" s="26"/>
      <c r="E21" s="26"/>
      <c r="F21" s="26"/>
      <c r="G21" s="26"/>
      <c r="H21" s="26"/>
      <c r="I21" s="26"/>
      <c r="J21" s="26"/>
      <c r="K21" s="26"/>
      <c r="L21" s="26"/>
      <c r="M21" s="26"/>
      <c r="N21" s="26"/>
      <c r="O21" s="26"/>
      <c r="P21" s="26"/>
      <c r="Q21" s="22"/>
    </row>
    <row r="22" spans="2:18">
      <c r="B22" s="20"/>
      <c r="C22" s="25"/>
      <c r="D22" s="3"/>
      <c r="E22" s="3"/>
      <c r="F22" s="3"/>
      <c r="G22" s="3"/>
      <c r="H22" s="3"/>
      <c r="I22" s="3"/>
      <c r="J22" s="3"/>
      <c r="K22" s="3"/>
      <c r="L22" s="3"/>
      <c r="M22" s="3"/>
      <c r="N22" s="3"/>
      <c r="O22" s="3"/>
      <c r="P22" s="3"/>
      <c r="Q22" s="22"/>
    </row>
    <row r="23" spans="2:18" ht="29.45" customHeight="1">
      <c r="B23" s="20"/>
      <c r="C23" s="11" t="s">
        <v>49</v>
      </c>
      <c r="D23" s="3"/>
      <c r="E23" s="265" t="s">
        <v>44</v>
      </c>
      <c r="F23" s="265"/>
      <c r="G23" s="265"/>
      <c r="H23" s="265"/>
      <c r="I23" s="266" t="s">
        <v>48</v>
      </c>
      <c r="J23" s="266"/>
      <c r="K23" s="266"/>
      <c r="L23" s="266"/>
      <c r="M23" s="266"/>
      <c r="N23" s="266"/>
      <c r="O23" s="13" t="s">
        <v>48</v>
      </c>
      <c r="P23" s="24"/>
      <c r="Q23" s="22"/>
      <c r="R23" s="1"/>
    </row>
    <row r="24" spans="2:18" ht="87" customHeight="1">
      <c r="B24" s="20"/>
      <c r="C24" s="4" t="s">
        <v>36</v>
      </c>
      <c r="D24" s="5" t="s">
        <v>0</v>
      </c>
      <c r="E24" s="8" t="s">
        <v>37</v>
      </c>
      <c r="F24" s="8" t="s">
        <v>40</v>
      </c>
      <c r="G24" s="8" t="s">
        <v>41</v>
      </c>
      <c r="H24" s="14"/>
      <c r="I24" s="9" t="s">
        <v>39</v>
      </c>
      <c r="J24" s="9" t="s">
        <v>38</v>
      </c>
      <c r="K24" s="9" t="s">
        <v>45</v>
      </c>
      <c r="L24" s="9" t="s">
        <v>134</v>
      </c>
      <c r="M24" s="9" t="s">
        <v>136</v>
      </c>
      <c r="N24" s="9" t="s">
        <v>42</v>
      </c>
      <c r="O24" s="9"/>
      <c r="P24" s="11" t="s">
        <v>46</v>
      </c>
      <c r="Q24" s="22"/>
    </row>
    <row r="25" spans="2:18" ht="20.45" customHeight="1">
      <c r="B25" s="20"/>
      <c r="C25" s="7"/>
      <c r="D25" s="6" t="s">
        <v>1</v>
      </c>
      <c r="E25" s="6" t="s">
        <v>43</v>
      </c>
      <c r="F25" s="6" t="s">
        <v>43</v>
      </c>
      <c r="G25" s="6" t="s">
        <v>43</v>
      </c>
      <c r="H25" s="11" t="s">
        <v>43</v>
      </c>
      <c r="I25" s="6" t="s">
        <v>43</v>
      </c>
      <c r="J25" s="6" t="s">
        <v>43</v>
      </c>
      <c r="K25" s="6" t="s">
        <v>43</v>
      </c>
      <c r="L25" s="6" t="s">
        <v>43</v>
      </c>
      <c r="M25" s="6" t="s">
        <v>43</v>
      </c>
      <c r="N25" s="6" t="s">
        <v>43</v>
      </c>
      <c r="O25" s="6" t="s">
        <v>43</v>
      </c>
      <c r="P25" s="11" t="s">
        <v>43</v>
      </c>
      <c r="Q25" s="22"/>
    </row>
    <row r="26" spans="2:18" ht="15.75">
      <c r="B26" s="20"/>
      <c r="C26" s="7">
        <v>100000</v>
      </c>
      <c r="D26" s="6">
        <f t="shared" ref="D26:D29" si="6">+D8*2</f>
        <v>641.15938779980399</v>
      </c>
      <c r="E26" s="6">
        <v>230.28984694995</v>
      </c>
      <c r="F26" s="6">
        <v>192.3478163399412</v>
      </c>
      <c r="G26" s="6">
        <v>32.057969389990198</v>
      </c>
      <c r="H26" s="12">
        <f>SUM(E26:G26)</f>
        <v>454.69563267988138</v>
      </c>
      <c r="I26" s="6">
        <v>352.6376632898922</v>
      </c>
      <c r="J26" s="6">
        <v>128.23187755996079</v>
      </c>
      <c r="K26" s="6">
        <v>128.23187755996079</v>
      </c>
      <c r="L26" s="6">
        <v>128.23187755996079</v>
      </c>
      <c r="M26" s="6">
        <v>128.23187755996079</v>
      </c>
      <c r="N26" s="6">
        <v>96.173908169970602</v>
      </c>
      <c r="O26" s="6">
        <f>SUM(I26:N26)</f>
        <v>961.73908169970605</v>
      </c>
      <c r="P26" s="12">
        <f>H26+O26</f>
        <v>1416.4347143795874</v>
      </c>
      <c r="Q26" s="22"/>
    </row>
    <row r="27" spans="2:18" ht="15.75">
      <c r="B27" s="20"/>
      <c r="C27" s="7">
        <v>250000</v>
      </c>
      <c r="D27" s="6">
        <f t="shared" si="6"/>
        <v>1497.8151608887736</v>
      </c>
      <c r="E27" s="6">
        <v>530.49</v>
      </c>
      <c r="F27" s="6">
        <v>449.34454826663205</v>
      </c>
      <c r="G27" s="6">
        <v>74.890758044438684</v>
      </c>
      <c r="H27" s="12">
        <f t="shared" ref="H27:H29" si="7">SUM(E27:G27)</f>
        <v>1054.7253063110707</v>
      </c>
      <c r="I27" s="6">
        <v>723.79833848882504</v>
      </c>
      <c r="J27" s="6">
        <v>299.56303217775474</v>
      </c>
      <c r="K27" s="6">
        <v>299.56303217775474</v>
      </c>
      <c r="L27" s="6">
        <v>299.56303217775474</v>
      </c>
      <c r="M27" s="6">
        <v>299.56303217775474</v>
      </c>
      <c r="N27" s="6">
        <v>224.67227413331602</v>
      </c>
      <c r="O27" s="6">
        <f t="shared" ref="O27:O29" si="8">SUM(I27:N27)</f>
        <v>2146.7227413331602</v>
      </c>
      <c r="P27" s="12">
        <f t="shared" ref="P27:P29" si="9">H27+O27</f>
        <v>3201.4480476442309</v>
      </c>
      <c r="Q27" s="22"/>
    </row>
    <row r="28" spans="2:18" ht="15.75">
      <c r="B28" s="20"/>
      <c r="C28" s="7">
        <v>500000</v>
      </c>
      <c r="D28" s="6">
        <f t="shared" si="6"/>
        <v>2845.8488056886699</v>
      </c>
      <c r="E28" s="6">
        <v>1020.46220142216</v>
      </c>
      <c r="F28" s="6">
        <v>853.75464170660098</v>
      </c>
      <c r="G28" s="6">
        <v>142.2924402844335</v>
      </c>
      <c r="H28" s="12">
        <f t="shared" si="7"/>
        <v>2016.5092834131945</v>
      </c>
      <c r="I28" s="6">
        <v>1465.2168431287701</v>
      </c>
      <c r="J28" s="6">
        <v>569.16976113773399</v>
      </c>
      <c r="K28" s="6">
        <v>569.16976113773399</v>
      </c>
      <c r="L28" s="6">
        <v>569.16976113773399</v>
      </c>
      <c r="M28" s="6">
        <v>569.16976113773399</v>
      </c>
      <c r="N28" s="6">
        <v>426.87732085330049</v>
      </c>
      <c r="O28" s="6">
        <f t="shared" si="8"/>
        <v>4168.7732085330063</v>
      </c>
      <c r="P28" s="12">
        <f t="shared" si="9"/>
        <v>6185.2824919462009</v>
      </c>
      <c r="Q28" s="22"/>
    </row>
    <row r="29" spans="2:18" ht="15.75">
      <c r="B29" s="20"/>
      <c r="C29" s="7">
        <v>1000000</v>
      </c>
      <c r="D29" s="6">
        <f t="shared" si="6"/>
        <v>5407.1127308084733</v>
      </c>
      <c r="E29" s="6">
        <v>1921.7781827021199</v>
      </c>
      <c r="F29" s="6">
        <v>1622.1338192425419</v>
      </c>
      <c r="G29" s="6">
        <v>270.35563654042369</v>
      </c>
      <c r="H29" s="12">
        <f t="shared" si="7"/>
        <v>3814.2676384850856</v>
      </c>
      <c r="I29" s="6">
        <v>2723.91200194466</v>
      </c>
      <c r="J29" s="6">
        <v>1081.4225461616948</v>
      </c>
      <c r="K29" s="6">
        <v>1081.4225461616948</v>
      </c>
      <c r="L29" s="6">
        <v>1081.4225461616948</v>
      </c>
      <c r="M29" s="6">
        <v>1081.4225461616948</v>
      </c>
      <c r="N29" s="6">
        <v>811.06690962127095</v>
      </c>
      <c r="O29" s="6">
        <f t="shared" si="8"/>
        <v>7860.6690962127104</v>
      </c>
      <c r="P29" s="12">
        <f t="shared" si="9"/>
        <v>11674.936734697796</v>
      </c>
      <c r="Q29" s="22"/>
    </row>
    <row r="30" spans="2:18" ht="13.5" thickBot="1">
      <c r="B30" s="27"/>
      <c r="C30" s="28"/>
      <c r="D30" s="29"/>
      <c r="E30" s="29"/>
      <c r="F30" s="29"/>
      <c r="G30" s="29"/>
      <c r="H30" s="29"/>
      <c r="I30" s="29"/>
      <c r="J30" s="29"/>
      <c r="K30" s="29"/>
      <c r="L30" s="29"/>
      <c r="M30" s="29"/>
      <c r="N30" s="29"/>
      <c r="O30" s="29"/>
      <c r="P30" s="29"/>
      <c r="Q30" s="30"/>
    </row>
    <row r="32" spans="2:18" ht="15.75">
      <c r="C32" s="262" t="s">
        <v>51</v>
      </c>
      <c r="D32" s="262"/>
      <c r="E32" s="262"/>
      <c r="F32" s="262"/>
    </row>
    <row r="33" spans="3:15">
      <c r="J33" s="263" t="s">
        <v>59</v>
      </c>
      <c r="K33" s="263"/>
      <c r="L33" s="263"/>
      <c r="M33" s="263"/>
      <c r="N33" s="263"/>
      <c r="O33" s="10"/>
    </row>
    <row r="34" spans="3:15">
      <c r="C34" s="15" t="s">
        <v>58</v>
      </c>
    </row>
    <row r="35" spans="3:15">
      <c r="C35" s="15" t="s">
        <v>55</v>
      </c>
      <c r="J35" t="s">
        <v>47</v>
      </c>
      <c r="K35" t="s">
        <v>50</v>
      </c>
      <c r="N35" t="s">
        <v>49</v>
      </c>
    </row>
    <row r="36" spans="3:15">
      <c r="C36" s="15" t="s">
        <v>52</v>
      </c>
    </row>
    <row r="37" spans="3:15">
      <c r="C37" s="15" t="s">
        <v>53</v>
      </c>
      <c r="J37" t="s">
        <v>2</v>
      </c>
      <c r="K37" t="s">
        <v>11</v>
      </c>
      <c r="N37" t="s">
        <v>23</v>
      </c>
    </row>
    <row r="38" spans="3:15">
      <c r="C38" s="15" t="s">
        <v>54</v>
      </c>
      <c r="J38" t="s">
        <v>3</v>
      </c>
      <c r="K38" t="s">
        <v>12</v>
      </c>
      <c r="N38" t="s">
        <v>24</v>
      </c>
    </row>
    <row r="39" spans="3:15">
      <c r="J39" t="s">
        <v>4</v>
      </c>
      <c r="K39" t="s">
        <v>13</v>
      </c>
      <c r="N39" t="s">
        <v>25</v>
      </c>
    </row>
    <row r="40" spans="3:15">
      <c r="C40" s="15" t="s">
        <v>56</v>
      </c>
      <c r="J40" t="s">
        <v>5</v>
      </c>
      <c r="K40" t="s">
        <v>14</v>
      </c>
      <c r="N40" t="s">
        <v>26</v>
      </c>
    </row>
    <row r="41" spans="3:15">
      <c r="C41" s="15"/>
      <c r="J41" t="s">
        <v>6</v>
      </c>
      <c r="K41" t="s">
        <v>15</v>
      </c>
      <c r="N41" t="s">
        <v>27</v>
      </c>
    </row>
    <row r="42" spans="3:15">
      <c r="C42" s="15" t="s">
        <v>57</v>
      </c>
      <c r="J42" t="s">
        <v>7</v>
      </c>
      <c r="K42" t="s">
        <v>16</v>
      </c>
      <c r="N42" t="s">
        <v>28</v>
      </c>
    </row>
    <row r="43" spans="3:15">
      <c r="J43" t="s">
        <v>8</v>
      </c>
      <c r="K43" t="s">
        <v>17</v>
      </c>
      <c r="N43" t="s">
        <v>29</v>
      </c>
    </row>
    <row r="44" spans="3:15">
      <c r="J44" t="s">
        <v>9</v>
      </c>
      <c r="K44" t="s">
        <v>18</v>
      </c>
      <c r="N44" t="s">
        <v>30</v>
      </c>
    </row>
    <row r="45" spans="3:15">
      <c r="J45" t="s">
        <v>10</v>
      </c>
      <c r="K45" t="s">
        <v>19</v>
      </c>
      <c r="N45" t="s">
        <v>31</v>
      </c>
    </row>
    <row r="46" spans="3:15">
      <c r="K46" t="s">
        <v>20</v>
      </c>
      <c r="N46" t="s">
        <v>32</v>
      </c>
    </row>
    <row r="47" spans="3:15">
      <c r="K47" t="s">
        <v>21</v>
      </c>
      <c r="N47" t="s">
        <v>33</v>
      </c>
    </row>
    <row r="48" spans="3:15">
      <c r="K48" t="s">
        <v>22</v>
      </c>
      <c r="N48" t="s">
        <v>34</v>
      </c>
    </row>
    <row r="49" spans="14:14">
      <c r="N49" t="s">
        <v>35</v>
      </c>
    </row>
  </sheetData>
  <mergeCells count="9">
    <mergeCell ref="C32:F32"/>
    <mergeCell ref="J33:N33"/>
    <mergeCell ref="C3:F3"/>
    <mergeCell ref="E5:H5"/>
    <mergeCell ref="I5:N5"/>
    <mergeCell ref="E14:H14"/>
    <mergeCell ref="I14:N14"/>
    <mergeCell ref="E23:H23"/>
    <mergeCell ref="I23:N23"/>
  </mergeCells>
  <pageMargins left="0.70866141732283472" right="0.70866141732283472" top="0.78740157480314965" bottom="0.78740157480314965" header="0.31496062992125984" footer="0.31496062992125984"/>
  <pageSetup paperSize="9" scale="69" orientation="portrait" r:id="rId1"/>
  <rowBreaks count="1" manualBreakCount="1">
    <brk id="2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P117"/>
  <sheetViews>
    <sheetView topLeftCell="A4" zoomScale="80" zoomScaleNormal="80" workbookViewId="0">
      <selection activeCell="E21" sqref="E21"/>
    </sheetView>
  </sheetViews>
  <sheetFormatPr baseColWidth="10" defaultRowHeight="12.75"/>
  <cols>
    <col min="3" max="3" width="23" customWidth="1"/>
    <col min="4" max="4" width="0" hidden="1" customWidth="1"/>
    <col min="5" max="5" width="23.85546875" customWidth="1"/>
    <col min="6" max="7" width="16" customWidth="1"/>
    <col min="8" max="8" width="18.42578125" customWidth="1"/>
    <col min="9" max="9" width="14.7109375" customWidth="1"/>
    <col min="10" max="10" width="17.7109375" customWidth="1"/>
    <col min="11" max="12" width="17" customWidth="1"/>
    <col min="13" max="13" width="18.7109375" customWidth="1"/>
    <col min="14" max="14" width="17" customWidth="1"/>
    <col min="15" max="15" width="14.42578125" customWidth="1"/>
  </cols>
  <sheetData>
    <row r="1" spans="3:16" ht="20.25">
      <c r="C1" s="32" t="s">
        <v>61</v>
      </c>
      <c r="D1" s="33"/>
      <c r="E1" s="33"/>
      <c r="F1" s="33"/>
      <c r="G1" s="33"/>
      <c r="H1" s="33"/>
      <c r="I1" s="1"/>
      <c r="J1" s="1"/>
      <c r="K1" s="1"/>
      <c r="L1" s="1"/>
      <c r="M1" s="1"/>
      <c r="N1" s="1"/>
    </row>
    <row r="4" spans="3:16" ht="15.75">
      <c r="C4" s="262" t="s">
        <v>62</v>
      </c>
      <c r="D4" s="262"/>
      <c r="E4" s="262"/>
      <c r="F4" s="262"/>
      <c r="G4" s="262"/>
      <c r="H4" s="31"/>
      <c r="I4" s="31"/>
      <c r="J4" s="31"/>
      <c r="K4" s="31"/>
      <c r="L4" s="31"/>
      <c r="M4" s="31"/>
      <c r="N4" s="31"/>
      <c r="O4" s="31"/>
    </row>
    <row r="5" spans="3:16" ht="14.25">
      <c r="C5" s="34" t="s">
        <v>63</v>
      </c>
      <c r="D5" s="35"/>
      <c r="E5" s="35"/>
      <c r="F5" s="35"/>
      <c r="G5" s="35"/>
      <c r="H5" s="35"/>
      <c r="I5" s="35"/>
      <c r="J5" s="35"/>
      <c r="K5" s="35"/>
      <c r="L5" s="35"/>
      <c r="M5" s="35"/>
      <c r="N5" s="35"/>
      <c r="O5" s="35"/>
    </row>
    <row r="6" spans="3:16" ht="14.25">
      <c r="C6" s="34" t="s">
        <v>64</v>
      </c>
      <c r="D6" s="35"/>
      <c r="E6" s="35"/>
      <c r="F6" s="35"/>
      <c r="G6" s="35"/>
      <c r="H6" s="35"/>
      <c r="I6" s="35"/>
      <c r="J6" s="35"/>
      <c r="K6" s="35"/>
      <c r="L6" s="35"/>
      <c r="M6" s="35"/>
      <c r="N6" s="35"/>
      <c r="O6" s="35"/>
    </row>
    <row r="7" spans="3:16" ht="14.25">
      <c r="C7" s="34" t="s">
        <v>65</v>
      </c>
      <c r="D7" s="35"/>
      <c r="E7" s="35"/>
      <c r="F7" s="35"/>
      <c r="G7" s="35"/>
      <c r="H7" s="35"/>
      <c r="I7" s="35"/>
      <c r="J7" s="35"/>
      <c r="K7" s="35"/>
      <c r="L7" s="35"/>
      <c r="M7" s="35"/>
      <c r="N7" s="35"/>
      <c r="O7" s="35"/>
    </row>
    <row r="8" spans="3:16" ht="14.25">
      <c r="C8" s="34" t="s">
        <v>66</v>
      </c>
      <c r="D8" s="35"/>
      <c r="E8" s="35"/>
      <c r="F8" s="35"/>
      <c r="G8" s="35"/>
      <c r="H8" s="35"/>
      <c r="I8" s="35"/>
      <c r="J8" s="35"/>
      <c r="K8" s="35"/>
      <c r="L8" s="35"/>
      <c r="M8" s="35"/>
      <c r="N8" s="35"/>
      <c r="O8" s="35"/>
    </row>
    <row r="9" spans="3:16" ht="14.25">
      <c r="C9" s="34" t="s">
        <v>67</v>
      </c>
      <c r="D9" s="35"/>
      <c r="E9" s="35"/>
      <c r="F9" s="35"/>
      <c r="G9" s="35"/>
      <c r="H9" s="35"/>
      <c r="I9" s="35"/>
      <c r="J9" s="35"/>
      <c r="K9" s="35"/>
      <c r="L9" s="35"/>
      <c r="M9" s="35"/>
      <c r="N9" s="35"/>
      <c r="O9" s="35"/>
    </row>
    <row r="10" spans="3:16" ht="14.25">
      <c r="C10" s="34"/>
      <c r="D10" s="35"/>
      <c r="E10" s="35"/>
      <c r="F10" s="35"/>
      <c r="G10" s="35"/>
      <c r="H10" s="35"/>
      <c r="I10" s="35"/>
      <c r="J10" s="35"/>
      <c r="K10" s="35"/>
      <c r="L10" s="35"/>
      <c r="M10" s="35"/>
      <c r="N10" s="35"/>
      <c r="O10" s="35"/>
    </row>
    <row r="11" spans="3:16" ht="14.25">
      <c r="C11" s="34"/>
      <c r="D11" s="35"/>
      <c r="E11" s="35"/>
      <c r="F11" s="35"/>
      <c r="G11" s="35"/>
      <c r="H11" s="35"/>
      <c r="I11" s="35"/>
      <c r="J11" s="35"/>
      <c r="K11" s="35"/>
      <c r="L11" s="35"/>
      <c r="M11" s="35"/>
      <c r="N11" s="35"/>
      <c r="O11" s="35"/>
    </row>
    <row r="12" spans="3:16" ht="14.25">
      <c r="C12" s="34"/>
      <c r="D12" s="35"/>
      <c r="E12" s="35"/>
      <c r="F12" s="35"/>
      <c r="G12" s="35"/>
      <c r="H12" s="35"/>
      <c r="I12" s="35"/>
      <c r="J12" s="35"/>
      <c r="K12" s="35"/>
      <c r="L12" s="35"/>
      <c r="M12" s="35"/>
      <c r="N12" s="35"/>
      <c r="O12" s="35"/>
    </row>
    <row r="13" spans="3:16" ht="14.25">
      <c r="C13" s="34"/>
      <c r="D13" s="35"/>
      <c r="E13" s="35"/>
      <c r="F13" s="35"/>
      <c r="G13" s="35"/>
      <c r="H13" s="35"/>
      <c r="I13" s="35"/>
      <c r="J13" s="35"/>
      <c r="K13" s="35"/>
      <c r="L13" s="35"/>
      <c r="M13" s="35"/>
      <c r="N13" s="35"/>
      <c r="O13" s="35"/>
    </row>
    <row r="14" spans="3:16" ht="14.25">
      <c r="C14" s="34"/>
      <c r="D14" s="35"/>
      <c r="E14" s="35"/>
      <c r="F14" s="35"/>
      <c r="G14" s="35"/>
      <c r="H14" s="35"/>
      <c r="I14" s="35"/>
      <c r="J14" s="35"/>
      <c r="K14" s="35"/>
      <c r="L14" s="35"/>
      <c r="M14" s="35"/>
      <c r="N14" s="35"/>
      <c r="O14" s="35"/>
    </row>
    <row r="15" spans="3:16" ht="14.25">
      <c r="C15" s="34"/>
      <c r="D15" s="35"/>
      <c r="E15" s="1"/>
      <c r="F15" s="1"/>
      <c r="G15" s="1"/>
      <c r="H15" s="1"/>
      <c r="I15" s="1"/>
      <c r="J15" s="1"/>
      <c r="K15" s="1"/>
      <c r="L15" s="1"/>
      <c r="M15" s="1"/>
      <c r="N15" s="1"/>
      <c r="O15" s="1"/>
      <c r="P15" s="1"/>
    </row>
    <row r="16" spans="3:16" ht="15">
      <c r="C16" s="36" t="s">
        <v>68</v>
      </c>
      <c r="D16" s="33"/>
      <c r="E16" s="33"/>
      <c r="F16" s="37"/>
      <c r="G16" s="37"/>
      <c r="H16" s="37"/>
      <c r="I16" s="37"/>
      <c r="J16" s="37"/>
      <c r="K16" s="37"/>
      <c r="L16" s="37"/>
      <c r="M16" s="37"/>
      <c r="N16" s="37"/>
      <c r="O16" s="1"/>
      <c r="P16" s="1"/>
    </row>
    <row r="17" spans="2:16" ht="25.5">
      <c r="C17" s="38"/>
      <c r="D17" s="35"/>
      <c r="E17" s="37"/>
      <c r="F17" s="37"/>
      <c r="G17" s="37"/>
      <c r="H17" s="37"/>
      <c r="I17" s="37"/>
      <c r="J17" s="37"/>
      <c r="K17" s="39"/>
      <c r="L17" s="39"/>
      <c r="M17" s="39"/>
      <c r="N17" s="39"/>
      <c r="O17" s="37"/>
      <c r="P17" s="1"/>
    </row>
    <row r="18" spans="2:16" ht="13.5" thickBot="1">
      <c r="C18" s="40" t="s">
        <v>69</v>
      </c>
      <c r="D18" s="41"/>
    </row>
    <row r="19" spans="2:16" ht="60.75" thickBot="1">
      <c r="C19" s="42" t="s">
        <v>70</v>
      </c>
      <c r="D19" s="43" t="s">
        <v>0</v>
      </c>
      <c r="E19" s="44" t="s">
        <v>71</v>
      </c>
      <c r="F19" s="44" t="s">
        <v>72</v>
      </c>
      <c r="G19" s="44" t="s">
        <v>73</v>
      </c>
      <c r="H19" s="44" t="s">
        <v>74</v>
      </c>
      <c r="I19" s="44" t="s">
        <v>75</v>
      </c>
      <c r="J19" s="44" t="s">
        <v>76</v>
      </c>
      <c r="K19" s="44" t="s">
        <v>77</v>
      </c>
      <c r="L19" s="45" t="s">
        <v>78</v>
      </c>
      <c r="M19" s="44" t="s">
        <v>79</v>
      </c>
      <c r="N19" s="44" t="s">
        <v>80</v>
      </c>
      <c r="O19" s="46" t="s">
        <v>81</v>
      </c>
    </row>
    <row r="20" spans="2:16" ht="30.75" thickBot="1">
      <c r="C20" s="47" t="s">
        <v>82</v>
      </c>
      <c r="D20" s="48" t="s">
        <v>1</v>
      </c>
      <c r="E20" s="48" t="s">
        <v>1</v>
      </c>
      <c r="F20" s="48" t="s">
        <v>1</v>
      </c>
      <c r="G20" s="48" t="s">
        <v>1</v>
      </c>
      <c r="H20" s="48" t="s">
        <v>1</v>
      </c>
      <c r="I20" s="48" t="s">
        <v>1</v>
      </c>
      <c r="J20" s="48" t="s">
        <v>1</v>
      </c>
      <c r="K20" s="48" t="s">
        <v>1</v>
      </c>
      <c r="L20" s="48"/>
      <c r="M20" s="48" t="s">
        <v>1</v>
      </c>
      <c r="N20" s="48" t="s">
        <v>1</v>
      </c>
      <c r="O20" s="49" t="s">
        <v>1</v>
      </c>
    </row>
    <row r="21" spans="2:16" ht="15">
      <c r="B21" s="50"/>
      <c r="C21" s="51">
        <v>100000</v>
      </c>
      <c r="D21" s="52">
        <v>320.579693899902</v>
      </c>
      <c r="E21" s="52">
        <f>D21*0.2</f>
        <v>64.115938779980397</v>
      </c>
      <c r="F21" s="52">
        <f>D21*0.3</f>
        <v>96.173908169970602</v>
      </c>
      <c r="G21" s="52">
        <f>D21*0.4</f>
        <v>128.23187755996079</v>
      </c>
      <c r="H21" s="52">
        <f t="shared" ref="H21:H30" si="0">+D21*$J$75</f>
        <v>48.086954084985301</v>
      </c>
      <c r="I21" s="52">
        <f t="shared" ref="I21:I30" si="1">+D21*$K$75</f>
        <v>32.057969389990198</v>
      </c>
      <c r="J21" s="52">
        <f t="shared" ref="J21:J30" si="2">+D21*$L$75</f>
        <v>16.028984694995099</v>
      </c>
      <c r="K21" s="52">
        <f t="shared" ref="K21:K30" si="3">D21*0.05</f>
        <v>16.028984694995099</v>
      </c>
      <c r="L21" s="52">
        <f>+E21+F21+G21+H21+I21+J21+K21</f>
        <v>400.72461737487743</v>
      </c>
      <c r="M21" s="53">
        <f t="shared" ref="M21:M30" si="4">+D21*$M$75</f>
        <v>16.028984694995099</v>
      </c>
      <c r="N21" s="53">
        <f>+D21*0.625</f>
        <v>200.36230868743874</v>
      </c>
      <c r="O21" s="54">
        <f t="shared" ref="O21:O30" si="5">D21*0.05</f>
        <v>16.028984694995099</v>
      </c>
    </row>
    <row r="22" spans="2:16" ht="15">
      <c r="B22" s="55"/>
      <c r="C22" s="56">
        <v>250000</v>
      </c>
      <c r="D22" s="57">
        <v>748.90758044438678</v>
      </c>
      <c r="E22" s="57">
        <f t="shared" ref="E22:E30" si="6">D22*0.2</f>
        <v>149.78151608887737</v>
      </c>
      <c r="F22" s="57">
        <f t="shared" ref="F22:F30" si="7">D22*0.3</f>
        <v>224.67227413331602</v>
      </c>
      <c r="G22" s="57">
        <f t="shared" ref="G22:G30" si="8">D22*0.4</f>
        <v>299.56303217775474</v>
      </c>
      <c r="H22" s="57">
        <f t="shared" si="0"/>
        <v>112.33613706665801</v>
      </c>
      <c r="I22" s="57">
        <f t="shared" si="1"/>
        <v>74.890758044438684</v>
      </c>
      <c r="J22" s="57">
        <f t="shared" si="2"/>
        <v>37.445379022219342</v>
      </c>
      <c r="K22" s="57">
        <f t="shared" si="3"/>
        <v>37.445379022219342</v>
      </c>
      <c r="L22" s="57">
        <f t="shared" ref="L22:L30" si="9">+E22+F22+G22+H22+I22+J22+K22</f>
        <v>936.13447555548339</v>
      </c>
      <c r="M22" s="58">
        <f t="shared" si="4"/>
        <v>37.445379022219342</v>
      </c>
      <c r="N22" s="58">
        <f t="shared" ref="N22:N30" si="10">+D22*0.625</f>
        <v>468.06723777774175</v>
      </c>
      <c r="O22" s="59">
        <f t="shared" si="5"/>
        <v>37.445379022219342</v>
      </c>
    </row>
    <row r="23" spans="2:16" ht="15">
      <c r="B23" s="55"/>
      <c r="C23" s="56">
        <v>500000</v>
      </c>
      <c r="D23" s="57">
        <v>1422.924402844335</v>
      </c>
      <c r="E23" s="57">
        <f t="shared" si="6"/>
        <v>284.58488056886699</v>
      </c>
      <c r="F23" s="57">
        <f t="shared" si="7"/>
        <v>426.87732085330049</v>
      </c>
      <c r="G23" s="57">
        <f t="shared" si="8"/>
        <v>569.16976113773399</v>
      </c>
      <c r="H23" s="57">
        <f t="shared" si="0"/>
        <v>213.43866042665024</v>
      </c>
      <c r="I23" s="57">
        <f t="shared" si="1"/>
        <v>142.2924402844335</v>
      </c>
      <c r="J23" s="57">
        <f t="shared" si="2"/>
        <v>71.146220142216748</v>
      </c>
      <c r="K23" s="57">
        <f t="shared" si="3"/>
        <v>71.146220142216748</v>
      </c>
      <c r="L23" s="57">
        <f t="shared" si="9"/>
        <v>1778.6555035554188</v>
      </c>
      <c r="M23" s="58">
        <f t="shared" si="4"/>
        <v>71.146220142216748</v>
      </c>
      <c r="N23" s="58">
        <f t="shared" si="10"/>
        <v>889.32775177770941</v>
      </c>
      <c r="O23" s="59">
        <f t="shared" si="5"/>
        <v>71.146220142216748</v>
      </c>
    </row>
    <row r="24" spans="2:16" ht="15">
      <c r="B24" s="55" t="s">
        <v>83</v>
      </c>
      <c r="C24" s="56">
        <v>1000000</v>
      </c>
      <c r="D24" s="57">
        <v>2703.5563654042367</v>
      </c>
      <c r="E24" s="57">
        <f t="shared" si="6"/>
        <v>540.71127308084738</v>
      </c>
      <c r="F24" s="57">
        <f t="shared" si="7"/>
        <v>811.06690962127095</v>
      </c>
      <c r="G24" s="57">
        <f t="shared" si="8"/>
        <v>1081.4225461616948</v>
      </c>
      <c r="H24" s="57">
        <f t="shared" si="0"/>
        <v>405.53345481063548</v>
      </c>
      <c r="I24" s="57">
        <f t="shared" si="1"/>
        <v>270.35563654042369</v>
      </c>
      <c r="J24" s="57">
        <f t="shared" si="2"/>
        <v>135.17781827021184</v>
      </c>
      <c r="K24" s="57">
        <f t="shared" si="3"/>
        <v>135.17781827021184</v>
      </c>
      <c r="L24" s="57">
        <f t="shared" si="9"/>
        <v>3379.4454567552966</v>
      </c>
      <c r="M24" s="58">
        <f t="shared" si="4"/>
        <v>135.17781827021184</v>
      </c>
      <c r="N24" s="58">
        <f t="shared" si="10"/>
        <v>1689.7227283776479</v>
      </c>
      <c r="O24" s="59">
        <f t="shared" si="5"/>
        <v>135.17781827021184</v>
      </c>
    </row>
    <row r="25" spans="2:16" ht="15">
      <c r="B25" s="55"/>
      <c r="C25" s="56">
        <v>1500000</v>
      </c>
      <c r="D25" s="57">
        <v>3935.4629845309496</v>
      </c>
      <c r="E25" s="57">
        <f t="shared" si="6"/>
        <v>787.09259690619001</v>
      </c>
      <c r="F25" s="57">
        <f t="shared" si="7"/>
        <v>1180.6388953592848</v>
      </c>
      <c r="G25" s="57">
        <f t="shared" si="8"/>
        <v>1574.18519381238</v>
      </c>
      <c r="H25" s="57">
        <f t="shared" si="0"/>
        <v>590.31944767964239</v>
      </c>
      <c r="I25" s="57">
        <f t="shared" si="1"/>
        <v>393.54629845309501</v>
      </c>
      <c r="J25" s="57">
        <f t="shared" si="2"/>
        <v>196.7731492265475</v>
      </c>
      <c r="K25" s="57">
        <f t="shared" si="3"/>
        <v>196.7731492265475</v>
      </c>
      <c r="L25" s="57">
        <f t="shared" si="9"/>
        <v>4919.3287306636876</v>
      </c>
      <c r="M25" s="58">
        <f t="shared" si="4"/>
        <v>196.7731492265475</v>
      </c>
      <c r="N25" s="58">
        <f t="shared" si="10"/>
        <v>2459.6643653318433</v>
      </c>
      <c r="O25" s="59">
        <f t="shared" si="5"/>
        <v>196.7731492265475</v>
      </c>
    </row>
    <row r="26" spans="2:16" ht="15.75" thickBot="1">
      <c r="B26" s="60"/>
      <c r="C26" s="61">
        <v>2000000</v>
      </c>
      <c r="D26" s="62">
        <v>5136.7570942680495</v>
      </c>
      <c r="E26" s="62">
        <f t="shared" si="6"/>
        <v>1027.3514188536099</v>
      </c>
      <c r="F26" s="62">
        <f t="shared" si="7"/>
        <v>1541.0271282804149</v>
      </c>
      <c r="G26" s="62">
        <f t="shared" si="8"/>
        <v>2054.7028377072197</v>
      </c>
      <c r="H26" s="62">
        <f t="shared" si="0"/>
        <v>770.51356414020745</v>
      </c>
      <c r="I26" s="62">
        <f t="shared" si="1"/>
        <v>513.67570942680493</v>
      </c>
      <c r="J26" s="62">
        <f t="shared" si="2"/>
        <v>256.83785471340246</v>
      </c>
      <c r="K26" s="62">
        <f t="shared" si="3"/>
        <v>256.83785471340246</v>
      </c>
      <c r="L26" s="62">
        <f t="shared" si="9"/>
        <v>6420.9463678350621</v>
      </c>
      <c r="M26" s="63">
        <f t="shared" si="4"/>
        <v>256.83785471340246</v>
      </c>
      <c r="N26" s="63">
        <f t="shared" si="10"/>
        <v>3210.4731839175311</v>
      </c>
      <c r="O26" s="64">
        <f t="shared" si="5"/>
        <v>256.83785471340246</v>
      </c>
    </row>
    <row r="27" spans="2:16" ht="15">
      <c r="B27" s="65" t="s">
        <v>84</v>
      </c>
      <c r="C27" s="66">
        <v>2500000</v>
      </c>
      <c r="D27" s="52">
        <v>6315.78947368421</v>
      </c>
      <c r="E27" s="52">
        <f t="shared" si="6"/>
        <v>1263.1578947368421</v>
      </c>
      <c r="F27" s="52">
        <f t="shared" si="7"/>
        <v>1894.7368421052629</v>
      </c>
      <c r="G27" s="52">
        <f t="shared" si="8"/>
        <v>2526.3157894736842</v>
      </c>
      <c r="H27" s="52">
        <f t="shared" si="0"/>
        <v>947.36842105263145</v>
      </c>
      <c r="I27" s="52">
        <f t="shared" si="1"/>
        <v>631.57894736842104</v>
      </c>
      <c r="J27" s="52">
        <f t="shared" si="2"/>
        <v>315.78947368421052</v>
      </c>
      <c r="K27" s="52">
        <f t="shared" si="3"/>
        <v>315.78947368421052</v>
      </c>
      <c r="L27" s="52">
        <f t="shared" si="9"/>
        <v>7894.7368421052633</v>
      </c>
      <c r="M27" s="53">
        <f t="shared" si="4"/>
        <v>315.78947368421052</v>
      </c>
      <c r="N27" s="53">
        <f t="shared" si="10"/>
        <v>3947.3684210526312</v>
      </c>
      <c r="O27" s="54">
        <f t="shared" si="5"/>
        <v>315.78947368421052</v>
      </c>
    </row>
    <row r="28" spans="2:16" ht="15.75" thickBot="1">
      <c r="B28" s="67"/>
      <c r="C28" s="68">
        <v>5000000</v>
      </c>
      <c r="D28" s="69">
        <v>12000</v>
      </c>
      <c r="E28" s="69">
        <f t="shared" si="6"/>
        <v>2400</v>
      </c>
      <c r="F28" s="69">
        <f t="shared" si="7"/>
        <v>3600</v>
      </c>
      <c r="G28" s="69">
        <f t="shared" si="8"/>
        <v>4800</v>
      </c>
      <c r="H28" s="62">
        <f t="shared" si="0"/>
        <v>1800</v>
      </c>
      <c r="I28" s="62">
        <f t="shared" si="1"/>
        <v>1200</v>
      </c>
      <c r="J28" s="62">
        <f t="shared" si="2"/>
        <v>600</v>
      </c>
      <c r="K28" s="69">
        <f t="shared" si="3"/>
        <v>600</v>
      </c>
      <c r="L28" s="62">
        <f t="shared" si="9"/>
        <v>15000</v>
      </c>
      <c r="M28" s="63">
        <f t="shared" si="4"/>
        <v>600</v>
      </c>
      <c r="N28" s="63">
        <f t="shared" si="10"/>
        <v>7500</v>
      </c>
      <c r="O28" s="70">
        <f t="shared" si="5"/>
        <v>600</v>
      </c>
    </row>
    <row r="29" spans="2:16" ht="15">
      <c r="B29" s="71" t="s">
        <v>85</v>
      </c>
      <c r="C29" s="72">
        <v>10000000</v>
      </c>
      <c r="D29" s="52">
        <v>22800</v>
      </c>
      <c r="E29" s="52">
        <f t="shared" si="6"/>
        <v>4560</v>
      </c>
      <c r="F29" s="52">
        <f t="shared" si="7"/>
        <v>6840</v>
      </c>
      <c r="G29" s="52">
        <f t="shared" si="8"/>
        <v>9120</v>
      </c>
      <c r="H29" s="52">
        <f t="shared" si="0"/>
        <v>3420</v>
      </c>
      <c r="I29" s="52">
        <f t="shared" si="1"/>
        <v>2280</v>
      </c>
      <c r="J29" s="52">
        <f t="shared" si="2"/>
        <v>1140</v>
      </c>
      <c r="K29" s="52">
        <f t="shared" si="3"/>
        <v>1140</v>
      </c>
      <c r="L29" s="52">
        <f t="shared" si="9"/>
        <v>28500</v>
      </c>
      <c r="M29" s="53">
        <f t="shared" si="4"/>
        <v>1140</v>
      </c>
      <c r="N29" s="53">
        <f t="shared" si="10"/>
        <v>14250</v>
      </c>
      <c r="O29" s="54">
        <f t="shared" si="5"/>
        <v>1140</v>
      </c>
    </row>
    <row r="30" spans="2:16" ht="15.75" thickBot="1">
      <c r="B30" s="73"/>
      <c r="C30" s="74">
        <v>20000000</v>
      </c>
      <c r="D30" s="75">
        <v>36480</v>
      </c>
      <c r="E30" s="75">
        <f t="shared" si="6"/>
        <v>7296</v>
      </c>
      <c r="F30" s="75">
        <f t="shared" si="7"/>
        <v>10944</v>
      </c>
      <c r="G30" s="75">
        <f t="shared" si="8"/>
        <v>14592</v>
      </c>
      <c r="H30" s="75">
        <f t="shared" si="0"/>
        <v>5472</v>
      </c>
      <c r="I30" s="75">
        <f t="shared" si="1"/>
        <v>3648</v>
      </c>
      <c r="J30" s="75">
        <f t="shared" si="2"/>
        <v>1824</v>
      </c>
      <c r="K30" s="75">
        <f t="shared" si="3"/>
        <v>1824</v>
      </c>
      <c r="L30" s="75">
        <f t="shared" si="9"/>
        <v>45600</v>
      </c>
      <c r="M30" s="76">
        <f t="shared" si="4"/>
        <v>1824</v>
      </c>
      <c r="N30" s="76">
        <f t="shared" si="10"/>
        <v>22800</v>
      </c>
      <c r="O30" s="77">
        <f t="shared" si="5"/>
        <v>1824</v>
      </c>
    </row>
    <row r="31" spans="2:16" ht="15">
      <c r="C31" s="2"/>
      <c r="D31" s="78"/>
      <c r="E31" s="78"/>
      <c r="F31" s="78"/>
      <c r="G31" s="78"/>
      <c r="H31" s="78"/>
      <c r="I31" s="78"/>
      <c r="J31" s="78"/>
      <c r="K31" s="78"/>
      <c r="L31" s="78"/>
      <c r="M31" s="78"/>
      <c r="N31" s="78"/>
      <c r="O31" s="78"/>
    </row>
    <row r="32" spans="2:16" ht="15">
      <c r="C32" s="2"/>
      <c r="D32" s="78"/>
      <c r="E32" s="78"/>
      <c r="F32" s="78"/>
      <c r="G32" s="78"/>
      <c r="H32" s="78"/>
      <c r="I32" s="78"/>
      <c r="J32" s="78"/>
      <c r="K32" s="78"/>
      <c r="L32" s="78"/>
      <c r="M32" s="78"/>
      <c r="N32" s="78"/>
      <c r="O32" s="78"/>
    </row>
    <row r="33" spans="2:15" ht="15">
      <c r="C33" s="2"/>
      <c r="D33" s="78"/>
      <c r="E33" s="78"/>
      <c r="F33" s="78"/>
      <c r="G33" s="78"/>
      <c r="H33" s="78"/>
      <c r="I33" s="78"/>
      <c r="J33" s="78"/>
      <c r="K33" s="78"/>
      <c r="L33" s="78"/>
      <c r="M33" s="78"/>
      <c r="N33" s="78"/>
      <c r="O33" s="78"/>
    </row>
    <row r="34" spans="2:15">
      <c r="D34" s="3"/>
      <c r="F34" s="1"/>
    </row>
    <row r="35" spans="2:15">
      <c r="D35" s="3"/>
      <c r="F35" s="1"/>
    </row>
    <row r="36" spans="2:15">
      <c r="D36" s="3"/>
      <c r="F36" s="1"/>
    </row>
    <row r="37" spans="2:15" ht="13.5" thickBot="1">
      <c r="C37" s="40" t="s">
        <v>86</v>
      </c>
    </row>
    <row r="38" spans="2:15" ht="60.75" thickBot="1">
      <c r="C38" s="79" t="s">
        <v>70</v>
      </c>
      <c r="D38" s="43" t="s">
        <v>0</v>
      </c>
      <c r="E38" s="44" t="s">
        <v>71</v>
      </c>
      <c r="F38" s="44" t="s">
        <v>72</v>
      </c>
      <c r="G38" s="44" t="s">
        <v>73</v>
      </c>
      <c r="H38" s="44" t="s">
        <v>74</v>
      </c>
      <c r="I38" s="44" t="s">
        <v>75</v>
      </c>
      <c r="J38" s="44" t="s">
        <v>76</v>
      </c>
      <c r="K38" s="44" t="s">
        <v>77</v>
      </c>
      <c r="L38" s="45" t="s">
        <v>78</v>
      </c>
      <c r="M38" s="44" t="s">
        <v>79</v>
      </c>
      <c r="N38" s="44" t="s">
        <v>80</v>
      </c>
      <c r="O38" s="46" t="s">
        <v>81</v>
      </c>
    </row>
    <row r="39" spans="2:15" ht="30.75" thickBot="1">
      <c r="C39" s="80" t="s">
        <v>82</v>
      </c>
      <c r="D39" s="81" t="s">
        <v>1</v>
      </c>
      <c r="E39" s="48" t="s">
        <v>1</v>
      </c>
      <c r="F39" s="48" t="s">
        <v>1</v>
      </c>
      <c r="G39" s="48" t="s">
        <v>1</v>
      </c>
      <c r="H39" s="48" t="s">
        <v>1</v>
      </c>
      <c r="I39" s="48" t="s">
        <v>1</v>
      </c>
      <c r="J39" s="48" t="s">
        <v>1</v>
      </c>
      <c r="K39" s="48" t="s">
        <v>1</v>
      </c>
      <c r="L39" s="48"/>
      <c r="M39" s="48" t="s">
        <v>1</v>
      </c>
      <c r="N39" s="48" t="s">
        <v>1</v>
      </c>
      <c r="O39" s="49" t="s">
        <v>1</v>
      </c>
    </row>
    <row r="40" spans="2:15" ht="15">
      <c r="B40" s="82"/>
      <c r="C40" s="83">
        <v>100000</v>
      </c>
      <c r="D40" s="52">
        <f t="shared" ref="D40:D49" si="11">+D21*1.5</f>
        <v>480.86954084985302</v>
      </c>
      <c r="E40" s="52">
        <f>D40*0.2</f>
        <v>96.173908169970616</v>
      </c>
      <c r="F40" s="52">
        <f>D40*0.3</f>
        <v>144.2608622549559</v>
      </c>
      <c r="G40" s="52">
        <f>D40*0.4</f>
        <v>192.34781633994123</v>
      </c>
      <c r="H40" s="52">
        <f t="shared" ref="H40:H49" si="12">+D40*$J$76</f>
        <v>96.173908169970616</v>
      </c>
      <c r="I40" s="52">
        <f t="shared" ref="I40:I49" si="13">+D40*$K$76</f>
        <v>72.130431127477948</v>
      </c>
      <c r="J40" s="52">
        <f t="shared" ref="J40:J49" si="14">+D40*$L$76</f>
        <v>48.086954084985308</v>
      </c>
      <c r="K40" s="52">
        <f t="shared" ref="K40:K49" si="15">D40*0.05</f>
        <v>24.043477042492654</v>
      </c>
      <c r="L40" s="52">
        <f>+E40+F40+G40+H40+I40+J40+K40</f>
        <v>673.21735718979426</v>
      </c>
      <c r="M40" s="53">
        <f t="shared" ref="M40:M49" si="16">+D40*$M$76</f>
        <v>48.086954084985308</v>
      </c>
      <c r="N40" s="53">
        <f>+D40*0.625</f>
        <v>300.54346303115813</v>
      </c>
      <c r="O40" s="54">
        <f t="shared" ref="O40:O49" si="17">D40*0.05</f>
        <v>24.043477042492654</v>
      </c>
    </row>
    <row r="41" spans="2:15" ht="15">
      <c r="B41" s="84"/>
      <c r="C41" s="85">
        <v>250000</v>
      </c>
      <c r="D41" s="57">
        <f t="shared" si="11"/>
        <v>1123.3613706665801</v>
      </c>
      <c r="E41" s="57">
        <f t="shared" ref="E41:E49" si="18">D41*0.2</f>
        <v>224.67227413331602</v>
      </c>
      <c r="F41" s="57">
        <f t="shared" ref="F41:F48" si="19">D41*0.3</f>
        <v>337.00841119997403</v>
      </c>
      <c r="G41" s="57">
        <f t="shared" ref="G41:G49" si="20">D41*0.4</f>
        <v>449.34454826663205</v>
      </c>
      <c r="H41" s="57">
        <f t="shared" si="12"/>
        <v>224.67227413331602</v>
      </c>
      <c r="I41" s="57">
        <f t="shared" si="13"/>
        <v>168.50420559998702</v>
      </c>
      <c r="J41" s="57">
        <f t="shared" si="14"/>
        <v>112.33613706665801</v>
      </c>
      <c r="K41" s="57">
        <f t="shared" si="15"/>
        <v>56.168068533329006</v>
      </c>
      <c r="L41" s="57">
        <f t="shared" ref="L41:L49" si="21">+E41+F41+G41+H41+I41+J41+K41</f>
        <v>1572.7059189332122</v>
      </c>
      <c r="M41" s="58">
        <f t="shared" si="16"/>
        <v>112.33613706665801</v>
      </c>
      <c r="N41" s="58">
        <f t="shared" ref="N41:N49" si="22">+D41*0.625</f>
        <v>702.10085666661257</v>
      </c>
      <c r="O41" s="59">
        <f t="shared" si="17"/>
        <v>56.168068533329006</v>
      </c>
    </row>
    <row r="42" spans="2:15" ht="15">
      <c r="B42" s="84"/>
      <c r="C42" s="85">
        <v>500000</v>
      </c>
      <c r="D42" s="57">
        <f t="shared" si="11"/>
        <v>2134.3866042665022</v>
      </c>
      <c r="E42" s="57">
        <f t="shared" si="18"/>
        <v>426.87732085330049</v>
      </c>
      <c r="F42" s="57">
        <f t="shared" si="19"/>
        <v>640.31598127995062</v>
      </c>
      <c r="G42" s="57">
        <f t="shared" si="20"/>
        <v>853.75464170660098</v>
      </c>
      <c r="H42" s="57">
        <f t="shared" si="12"/>
        <v>426.87732085330049</v>
      </c>
      <c r="I42" s="57">
        <f t="shared" si="13"/>
        <v>320.15799063997531</v>
      </c>
      <c r="J42" s="57">
        <f t="shared" si="14"/>
        <v>213.43866042665024</v>
      </c>
      <c r="K42" s="57">
        <f t="shared" si="15"/>
        <v>106.71933021332512</v>
      </c>
      <c r="L42" s="57">
        <f t="shared" si="21"/>
        <v>2988.1412459731027</v>
      </c>
      <c r="M42" s="58">
        <f t="shared" si="16"/>
        <v>213.43866042665024</v>
      </c>
      <c r="N42" s="58">
        <f t="shared" si="22"/>
        <v>1333.991627666564</v>
      </c>
      <c r="O42" s="59">
        <f t="shared" si="17"/>
        <v>106.71933021332512</v>
      </c>
    </row>
    <row r="43" spans="2:15" ht="15">
      <c r="B43" s="84" t="s">
        <v>83</v>
      </c>
      <c r="C43" s="85">
        <v>1000000</v>
      </c>
      <c r="D43" s="57">
        <f t="shared" si="11"/>
        <v>4055.3345481063552</v>
      </c>
      <c r="E43" s="57">
        <f t="shared" si="18"/>
        <v>811.06690962127107</v>
      </c>
      <c r="F43" s="57">
        <f t="shared" si="19"/>
        <v>1216.6003644319064</v>
      </c>
      <c r="G43" s="57">
        <f t="shared" si="20"/>
        <v>1622.1338192425421</v>
      </c>
      <c r="H43" s="57">
        <f t="shared" si="12"/>
        <v>811.06690962127107</v>
      </c>
      <c r="I43" s="57">
        <f t="shared" si="13"/>
        <v>608.30018221595321</v>
      </c>
      <c r="J43" s="57">
        <f t="shared" si="14"/>
        <v>405.53345481063553</v>
      </c>
      <c r="K43" s="57">
        <f t="shared" si="15"/>
        <v>202.76672740531777</v>
      </c>
      <c r="L43" s="57">
        <f t="shared" si="21"/>
        <v>5677.4683673488971</v>
      </c>
      <c r="M43" s="58">
        <f t="shared" si="16"/>
        <v>405.53345481063553</v>
      </c>
      <c r="N43" s="58">
        <f t="shared" si="22"/>
        <v>2534.584092566472</v>
      </c>
      <c r="O43" s="59">
        <f t="shared" si="17"/>
        <v>202.76672740531777</v>
      </c>
    </row>
    <row r="44" spans="2:15" ht="15">
      <c r="B44" s="84"/>
      <c r="C44" s="85">
        <v>1500000</v>
      </c>
      <c r="D44" s="57">
        <f t="shared" si="11"/>
        <v>5903.1944767964242</v>
      </c>
      <c r="E44" s="57">
        <f t="shared" si="18"/>
        <v>1180.6388953592848</v>
      </c>
      <c r="F44" s="57">
        <f t="shared" si="19"/>
        <v>1770.9583430389273</v>
      </c>
      <c r="G44" s="57">
        <f t="shared" si="20"/>
        <v>2361.2777907185696</v>
      </c>
      <c r="H44" s="57">
        <f t="shared" si="12"/>
        <v>1180.6388953592848</v>
      </c>
      <c r="I44" s="57">
        <f t="shared" si="13"/>
        <v>885.47917151946365</v>
      </c>
      <c r="J44" s="57">
        <f t="shared" si="14"/>
        <v>590.31944767964239</v>
      </c>
      <c r="K44" s="57">
        <f t="shared" si="15"/>
        <v>295.1597238398212</v>
      </c>
      <c r="L44" s="57">
        <f t="shared" si="21"/>
        <v>8264.4722675149933</v>
      </c>
      <c r="M44" s="58">
        <f t="shared" si="16"/>
        <v>590.31944767964239</v>
      </c>
      <c r="N44" s="58">
        <f t="shared" si="22"/>
        <v>3689.496547997765</v>
      </c>
      <c r="O44" s="59">
        <f t="shared" si="17"/>
        <v>295.1597238398212</v>
      </c>
    </row>
    <row r="45" spans="2:15" ht="15.75" thickBot="1">
      <c r="B45" s="84"/>
      <c r="C45" s="86">
        <v>2000000</v>
      </c>
      <c r="D45" s="62">
        <f t="shared" si="11"/>
        <v>7705.1356414020738</v>
      </c>
      <c r="E45" s="62">
        <f t="shared" si="18"/>
        <v>1541.0271282804149</v>
      </c>
      <c r="F45" s="62">
        <f t="shared" si="19"/>
        <v>2311.5406924206222</v>
      </c>
      <c r="G45" s="62">
        <f t="shared" si="20"/>
        <v>3082.0542565608298</v>
      </c>
      <c r="H45" s="62">
        <f t="shared" si="12"/>
        <v>1541.0271282804149</v>
      </c>
      <c r="I45" s="62">
        <f t="shared" si="13"/>
        <v>1155.7703462103111</v>
      </c>
      <c r="J45" s="62">
        <f t="shared" si="14"/>
        <v>770.51356414020745</v>
      </c>
      <c r="K45" s="62">
        <f t="shared" si="15"/>
        <v>385.25678207010372</v>
      </c>
      <c r="L45" s="62">
        <f t="shared" si="21"/>
        <v>10787.189897962904</v>
      </c>
      <c r="M45" s="63">
        <f t="shared" si="16"/>
        <v>770.51356414020745</v>
      </c>
      <c r="N45" s="63">
        <f t="shared" si="22"/>
        <v>4815.7097758762957</v>
      </c>
      <c r="O45" s="64">
        <f t="shared" si="17"/>
        <v>385.25678207010372</v>
      </c>
    </row>
    <row r="46" spans="2:15" ht="15">
      <c r="B46" s="87" t="s">
        <v>84</v>
      </c>
      <c r="C46" s="88">
        <v>2500000</v>
      </c>
      <c r="D46" s="52">
        <f t="shared" si="11"/>
        <v>9473.6842105263149</v>
      </c>
      <c r="E46" s="52">
        <f t="shared" si="18"/>
        <v>1894.7368421052631</v>
      </c>
      <c r="F46" s="52">
        <f t="shared" si="19"/>
        <v>2842.1052631578946</v>
      </c>
      <c r="G46" s="52">
        <f t="shared" si="20"/>
        <v>3789.4736842105262</v>
      </c>
      <c r="H46" s="52">
        <f t="shared" si="12"/>
        <v>1894.7368421052631</v>
      </c>
      <c r="I46" s="52">
        <f t="shared" si="13"/>
        <v>1421.0526315789473</v>
      </c>
      <c r="J46" s="52">
        <f t="shared" si="14"/>
        <v>947.36842105263156</v>
      </c>
      <c r="K46" s="52">
        <f t="shared" si="15"/>
        <v>473.68421052631578</v>
      </c>
      <c r="L46" s="52">
        <f t="shared" si="21"/>
        <v>13263.15789473684</v>
      </c>
      <c r="M46" s="53">
        <f t="shared" si="16"/>
        <v>947.36842105263156</v>
      </c>
      <c r="N46" s="53">
        <f t="shared" si="22"/>
        <v>5921.0526315789466</v>
      </c>
      <c r="O46" s="54">
        <f t="shared" si="17"/>
        <v>473.68421052631578</v>
      </c>
    </row>
    <row r="47" spans="2:15" ht="15.75" thickBot="1">
      <c r="B47" s="89"/>
      <c r="C47" s="90">
        <v>5000000</v>
      </c>
      <c r="D47" s="62">
        <f t="shared" si="11"/>
        <v>18000</v>
      </c>
      <c r="E47" s="62">
        <f t="shared" si="18"/>
        <v>3600</v>
      </c>
      <c r="F47" s="62">
        <f t="shared" si="19"/>
        <v>5400</v>
      </c>
      <c r="G47" s="62">
        <f t="shared" si="20"/>
        <v>7200</v>
      </c>
      <c r="H47" s="62">
        <f t="shared" si="12"/>
        <v>3600</v>
      </c>
      <c r="I47" s="62">
        <f t="shared" si="13"/>
        <v>2700</v>
      </c>
      <c r="J47" s="62">
        <f t="shared" si="14"/>
        <v>1800</v>
      </c>
      <c r="K47" s="62">
        <f t="shared" si="15"/>
        <v>900</v>
      </c>
      <c r="L47" s="62">
        <f t="shared" si="21"/>
        <v>25200</v>
      </c>
      <c r="M47" s="63">
        <f t="shared" si="16"/>
        <v>1800</v>
      </c>
      <c r="N47" s="63">
        <f t="shared" si="22"/>
        <v>11250</v>
      </c>
      <c r="O47" s="64">
        <f t="shared" si="17"/>
        <v>900</v>
      </c>
    </row>
    <row r="48" spans="2:15" ht="15">
      <c r="B48" s="91" t="s">
        <v>85</v>
      </c>
      <c r="C48" s="92">
        <v>10000000</v>
      </c>
      <c r="D48" s="52">
        <f t="shared" si="11"/>
        <v>34200</v>
      </c>
      <c r="E48" s="52">
        <f t="shared" si="18"/>
        <v>6840</v>
      </c>
      <c r="F48" s="52">
        <f t="shared" si="19"/>
        <v>10260</v>
      </c>
      <c r="G48" s="52">
        <f t="shared" si="20"/>
        <v>13680</v>
      </c>
      <c r="H48" s="52">
        <f t="shared" si="12"/>
        <v>6840</v>
      </c>
      <c r="I48" s="52">
        <f t="shared" si="13"/>
        <v>5130</v>
      </c>
      <c r="J48" s="52">
        <f t="shared" si="14"/>
        <v>3420</v>
      </c>
      <c r="K48" s="52">
        <f t="shared" si="15"/>
        <v>1710</v>
      </c>
      <c r="L48" s="52">
        <f t="shared" si="21"/>
        <v>47880</v>
      </c>
      <c r="M48" s="53">
        <f t="shared" si="16"/>
        <v>3420</v>
      </c>
      <c r="N48" s="53">
        <f t="shared" si="22"/>
        <v>21375</v>
      </c>
      <c r="O48" s="54">
        <f t="shared" si="17"/>
        <v>1710</v>
      </c>
    </row>
    <row r="49" spans="2:15" ht="15.75" thickBot="1">
      <c r="B49" s="93"/>
      <c r="C49" s="94">
        <v>20000000</v>
      </c>
      <c r="D49" s="75">
        <f t="shared" si="11"/>
        <v>54720</v>
      </c>
      <c r="E49" s="75">
        <f t="shared" si="18"/>
        <v>10944</v>
      </c>
      <c r="F49" s="75">
        <f t="shared" ref="F49" si="23">D49*0.15</f>
        <v>8208</v>
      </c>
      <c r="G49" s="75">
        <f t="shared" si="20"/>
        <v>21888</v>
      </c>
      <c r="H49" s="75">
        <f t="shared" si="12"/>
        <v>10944</v>
      </c>
      <c r="I49" s="75">
        <f t="shared" si="13"/>
        <v>8208</v>
      </c>
      <c r="J49" s="75">
        <f t="shared" si="14"/>
        <v>5472</v>
      </c>
      <c r="K49" s="75">
        <f t="shared" si="15"/>
        <v>2736</v>
      </c>
      <c r="L49" s="75">
        <f t="shared" si="21"/>
        <v>68400</v>
      </c>
      <c r="M49" s="76">
        <f t="shared" si="16"/>
        <v>5472</v>
      </c>
      <c r="N49" s="76">
        <f t="shared" si="22"/>
        <v>34200</v>
      </c>
      <c r="O49" s="77">
        <f t="shared" si="17"/>
        <v>2736</v>
      </c>
    </row>
    <row r="50" spans="2:15">
      <c r="D50" s="35"/>
      <c r="E50" s="35"/>
      <c r="F50" s="35"/>
      <c r="G50" s="35"/>
      <c r="H50" s="35"/>
      <c r="I50" s="35"/>
      <c r="J50" s="35"/>
      <c r="K50" s="35"/>
      <c r="L50" s="35"/>
      <c r="M50" s="35"/>
      <c r="N50" s="35"/>
      <c r="O50" s="35"/>
    </row>
    <row r="51" spans="2:15">
      <c r="D51" s="35"/>
      <c r="E51" s="35"/>
      <c r="F51" s="35"/>
      <c r="G51" s="35"/>
      <c r="H51" s="35"/>
      <c r="I51" s="35"/>
      <c r="J51" s="35"/>
      <c r="K51" s="35"/>
      <c r="L51" s="35"/>
      <c r="M51" s="35"/>
      <c r="N51" s="35"/>
      <c r="O51" s="35"/>
    </row>
    <row r="52" spans="2:15">
      <c r="D52" s="35"/>
      <c r="E52" s="35"/>
      <c r="F52" s="35"/>
      <c r="G52" s="35"/>
      <c r="H52" s="35"/>
      <c r="I52" s="35"/>
      <c r="J52" s="35"/>
      <c r="K52" s="35"/>
      <c r="L52" s="35"/>
      <c r="M52" s="35"/>
      <c r="N52" s="35"/>
      <c r="O52" s="35"/>
    </row>
    <row r="53" spans="2:15">
      <c r="D53" s="35"/>
      <c r="E53" s="35"/>
      <c r="F53" s="35"/>
      <c r="G53" s="35"/>
      <c r="H53" s="35"/>
      <c r="I53" s="35"/>
      <c r="J53" s="35"/>
      <c r="K53" s="35"/>
      <c r="L53" s="35"/>
      <c r="M53" s="35"/>
      <c r="N53" s="35"/>
      <c r="O53" s="35"/>
    </row>
    <row r="54" spans="2:15">
      <c r="D54" s="35"/>
      <c r="E54" s="35"/>
      <c r="F54" s="35"/>
      <c r="G54" s="35"/>
      <c r="H54" s="35"/>
      <c r="I54" s="35"/>
      <c r="J54" s="35"/>
      <c r="K54" s="35"/>
      <c r="L54" s="35"/>
      <c r="M54" s="35"/>
      <c r="N54" s="35"/>
      <c r="O54" s="35"/>
    </row>
    <row r="55" spans="2:15">
      <c r="D55" s="35"/>
      <c r="E55" s="35"/>
      <c r="F55" s="35"/>
      <c r="G55" s="35"/>
      <c r="H55" s="35"/>
      <c r="I55" s="35"/>
      <c r="J55" s="35"/>
      <c r="K55" s="35"/>
      <c r="L55" s="35"/>
      <c r="M55" s="35"/>
      <c r="N55" s="35"/>
      <c r="O55" s="35"/>
    </row>
    <row r="56" spans="2:15" ht="13.5" thickBot="1">
      <c r="C56" s="40" t="s">
        <v>87</v>
      </c>
      <c r="I56" s="35"/>
      <c r="J56" s="35"/>
    </row>
    <row r="57" spans="2:15" ht="60.75" thickBot="1">
      <c r="C57" s="79" t="s">
        <v>70</v>
      </c>
      <c r="D57" s="43" t="s">
        <v>0</v>
      </c>
      <c r="E57" s="44" t="s">
        <v>71</v>
      </c>
      <c r="F57" s="44" t="s">
        <v>72</v>
      </c>
      <c r="G57" s="44" t="s">
        <v>73</v>
      </c>
      <c r="H57" s="44" t="s">
        <v>74</v>
      </c>
      <c r="I57" s="44" t="s">
        <v>75</v>
      </c>
      <c r="J57" s="44" t="s">
        <v>76</v>
      </c>
      <c r="K57" s="44" t="s">
        <v>77</v>
      </c>
      <c r="L57" s="45" t="s">
        <v>78</v>
      </c>
      <c r="M57" s="44" t="s">
        <v>79</v>
      </c>
      <c r="N57" s="44" t="s">
        <v>80</v>
      </c>
      <c r="O57" s="46" t="s">
        <v>81</v>
      </c>
    </row>
    <row r="58" spans="2:15" ht="30.75" thickBot="1">
      <c r="C58" s="80" t="s">
        <v>88</v>
      </c>
      <c r="D58" s="81" t="s">
        <v>1</v>
      </c>
      <c r="E58" s="48" t="s">
        <v>1</v>
      </c>
      <c r="F58" s="48" t="s">
        <v>1</v>
      </c>
      <c r="G58" s="48" t="s">
        <v>1</v>
      </c>
      <c r="H58" s="48" t="s">
        <v>1</v>
      </c>
      <c r="I58" s="48" t="s">
        <v>1</v>
      </c>
      <c r="J58" s="48" t="s">
        <v>1</v>
      </c>
      <c r="K58" s="48" t="s">
        <v>1</v>
      </c>
      <c r="L58" s="48"/>
      <c r="M58" s="48" t="s">
        <v>1</v>
      </c>
      <c r="N58" s="48" t="s">
        <v>1</v>
      </c>
      <c r="O58" s="49" t="s">
        <v>1</v>
      </c>
    </row>
    <row r="59" spans="2:15" ht="15">
      <c r="B59" s="82"/>
      <c r="C59" s="83">
        <v>100000</v>
      </c>
      <c r="D59" s="52">
        <f t="shared" ref="D59:D68" si="24">+D21*2</f>
        <v>641.15938779980399</v>
      </c>
      <c r="E59" s="52">
        <f>D59*0.2</f>
        <v>128.23187755996079</v>
      </c>
      <c r="F59" s="52">
        <f>D59*0.3</f>
        <v>192.3478163399412</v>
      </c>
      <c r="G59" s="52">
        <f>D59*0.4</f>
        <v>256.46375511992159</v>
      </c>
      <c r="H59" s="52">
        <f t="shared" ref="H59:H68" si="25">+D59*$J$77</f>
        <v>128.23187755996079</v>
      </c>
      <c r="I59" s="52">
        <f t="shared" ref="I59:I68" si="26">+D59*$K$77</f>
        <v>128.23187755996079</v>
      </c>
      <c r="J59" s="52">
        <f t="shared" ref="J59:J68" si="27">+D59*$L$77</f>
        <v>96.173908169970602</v>
      </c>
      <c r="K59" s="52">
        <f t="shared" ref="K59:K68" si="28">D59*0.05</f>
        <v>32.057969389990198</v>
      </c>
      <c r="L59" s="52">
        <f>+E59+F59+G59+H59+I59+J59+K59</f>
        <v>961.73908169970593</v>
      </c>
      <c r="M59" s="53">
        <f t="shared" ref="M59:M68" si="29">+D59*$M$77</f>
        <v>96.173908169970602</v>
      </c>
      <c r="N59" s="53">
        <f>+D59*0.625</f>
        <v>400.72461737487748</v>
      </c>
      <c r="O59" s="54">
        <f t="shared" ref="O59:O68" si="30">D59*0.05</f>
        <v>32.057969389990198</v>
      </c>
    </row>
    <row r="60" spans="2:15" ht="15">
      <c r="B60" s="84"/>
      <c r="C60" s="85">
        <v>250000</v>
      </c>
      <c r="D60" s="57">
        <f t="shared" si="24"/>
        <v>1497.8151608887736</v>
      </c>
      <c r="E60" s="57">
        <f t="shared" ref="E60:E68" si="31">D60*0.2</f>
        <v>299.56303217775474</v>
      </c>
      <c r="F60" s="57">
        <f t="shared" ref="F60:F68" si="32">D60*0.3</f>
        <v>449.34454826663205</v>
      </c>
      <c r="G60" s="57">
        <f t="shared" ref="G60:G68" si="33">D60*0.4</f>
        <v>599.12606435550947</v>
      </c>
      <c r="H60" s="57">
        <f t="shared" si="25"/>
        <v>299.56303217775474</v>
      </c>
      <c r="I60" s="57">
        <f t="shared" si="26"/>
        <v>299.56303217775474</v>
      </c>
      <c r="J60" s="57">
        <f t="shared" si="27"/>
        <v>224.67227413331602</v>
      </c>
      <c r="K60" s="57">
        <f t="shared" si="28"/>
        <v>74.890758044438684</v>
      </c>
      <c r="L60" s="57">
        <f t="shared" ref="L60:L68" si="34">+E60+F60+G60+H60+I60+J60+K60</f>
        <v>2246.7227413331607</v>
      </c>
      <c r="M60" s="58">
        <f t="shared" si="29"/>
        <v>224.67227413331602</v>
      </c>
      <c r="N60" s="58">
        <f t="shared" ref="N60:N68" si="35">+D60*0.625</f>
        <v>936.1344755554835</v>
      </c>
      <c r="O60" s="59">
        <f t="shared" si="30"/>
        <v>74.890758044438684</v>
      </c>
    </row>
    <row r="61" spans="2:15" ht="15">
      <c r="B61" s="84"/>
      <c r="C61" s="85">
        <v>500000</v>
      </c>
      <c r="D61" s="57">
        <f t="shared" si="24"/>
        <v>2845.8488056886699</v>
      </c>
      <c r="E61" s="57">
        <f t="shared" si="31"/>
        <v>569.16976113773399</v>
      </c>
      <c r="F61" s="57">
        <f t="shared" si="32"/>
        <v>853.75464170660098</v>
      </c>
      <c r="G61" s="57">
        <f t="shared" si="33"/>
        <v>1138.339522275468</v>
      </c>
      <c r="H61" s="57">
        <f t="shared" si="25"/>
        <v>569.16976113773399</v>
      </c>
      <c r="I61" s="57">
        <f t="shared" si="26"/>
        <v>569.16976113773399</v>
      </c>
      <c r="J61" s="57">
        <f t="shared" si="27"/>
        <v>426.87732085330049</v>
      </c>
      <c r="K61" s="57">
        <f t="shared" si="28"/>
        <v>142.2924402844335</v>
      </c>
      <c r="L61" s="57">
        <f t="shared" si="34"/>
        <v>4268.7732085330053</v>
      </c>
      <c r="M61" s="58">
        <f t="shared" si="29"/>
        <v>426.87732085330049</v>
      </c>
      <c r="N61" s="58">
        <f t="shared" si="35"/>
        <v>1778.6555035554188</v>
      </c>
      <c r="O61" s="59">
        <f t="shared" si="30"/>
        <v>142.2924402844335</v>
      </c>
    </row>
    <row r="62" spans="2:15" ht="15">
      <c r="B62" s="84" t="s">
        <v>83</v>
      </c>
      <c r="C62" s="85">
        <v>1000000</v>
      </c>
      <c r="D62" s="57">
        <f t="shared" si="24"/>
        <v>5407.1127308084733</v>
      </c>
      <c r="E62" s="57">
        <f t="shared" si="31"/>
        <v>1081.4225461616948</v>
      </c>
      <c r="F62" s="57">
        <f t="shared" si="32"/>
        <v>1622.1338192425419</v>
      </c>
      <c r="G62" s="57">
        <f t="shared" si="33"/>
        <v>2162.8450923233895</v>
      </c>
      <c r="H62" s="57">
        <f t="shared" si="25"/>
        <v>1081.4225461616948</v>
      </c>
      <c r="I62" s="57">
        <f t="shared" si="26"/>
        <v>1081.4225461616948</v>
      </c>
      <c r="J62" s="57">
        <f t="shared" si="27"/>
        <v>811.06690962127095</v>
      </c>
      <c r="K62" s="57">
        <f t="shared" si="28"/>
        <v>270.35563654042369</v>
      </c>
      <c r="L62" s="57">
        <f t="shared" si="34"/>
        <v>8110.6690962127122</v>
      </c>
      <c r="M62" s="58">
        <f t="shared" si="29"/>
        <v>811.06690962127095</v>
      </c>
      <c r="N62" s="58">
        <f t="shared" si="35"/>
        <v>3379.4454567552957</v>
      </c>
      <c r="O62" s="59">
        <f t="shared" si="30"/>
        <v>270.35563654042369</v>
      </c>
    </row>
    <row r="63" spans="2:15" ht="15">
      <c r="B63" s="84"/>
      <c r="C63" s="85">
        <v>1500000</v>
      </c>
      <c r="D63" s="57">
        <f t="shared" si="24"/>
        <v>7870.9259690618992</v>
      </c>
      <c r="E63" s="57">
        <f t="shared" si="31"/>
        <v>1574.18519381238</v>
      </c>
      <c r="F63" s="57">
        <f t="shared" si="32"/>
        <v>2361.2777907185696</v>
      </c>
      <c r="G63" s="57">
        <f t="shared" si="33"/>
        <v>3148.37038762476</v>
      </c>
      <c r="H63" s="57">
        <f t="shared" si="25"/>
        <v>1574.18519381238</v>
      </c>
      <c r="I63" s="57">
        <f t="shared" si="26"/>
        <v>1574.18519381238</v>
      </c>
      <c r="J63" s="57">
        <f t="shared" si="27"/>
        <v>1180.6388953592848</v>
      </c>
      <c r="K63" s="57">
        <f t="shared" si="28"/>
        <v>393.54629845309501</v>
      </c>
      <c r="L63" s="57">
        <f t="shared" si="34"/>
        <v>11806.38895359285</v>
      </c>
      <c r="M63" s="58">
        <f t="shared" si="29"/>
        <v>1180.6388953592848</v>
      </c>
      <c r="N63" s="58">
        <f t="shared" si="35"/>
        <v>4919.3287306636867</v>
      </c>
      <c r="O63" s="59">
        <f t="shared" si="30"/>
        <v>393.54629845309501</v>
      </c>
    </row>
    <row r="64" spans="2:15" ht="15.75" thickBot="1">
      <c r="B64" s="95"/>
      <c r="C64" s="86">
        <v>2000000</v>
      </c>
      <c r="D64" s="62">
        <f t="shared" si="24"/>
        <v>10273.514188536099</v>
      </c>
      <c r="E64" s="62">
        <f t="shared" si="31"/>
        <v>2054.7028377072197</v>
      </c>
      <c r="F64" s="62">
        <f t="shared" si="32"/>
        <v>3082.0542565608298</v>
      </c>
      <c r="G64" s="62">
        <f t="shared" si="33"/>
        <v>4109.4056754144394</v>
      </c>
      <c r="H64" s="62">
        <f t="shared" si="25"/>
        <v>2054.7028377072197</v>
      </c>
      <c r="I64" s="62">
        <f t="shared" si="26"/>
        <v>2054.7028377072197</v>
      </c>
      <c r="J64" s="62">
        <f t="shared" si="27"/>
        <v>1541.0271282804149</v>
      </c>
      <c r="K64" s="62">
        <f t="shared" si="28"/>
        <v>513.67570942680493</v>
      </c>
      <c r="L64" s="62">
        <f t="shared" si="34"/>
        <v>15410.271282804149</v>
      </c>
      <c r="M64" s="63">
        <f t="shared" si="29"/>
        <v>1541.0271282804149</v>
      </c>
      <c r="N64" s="63">
        <f t="shared" si="35"/>
        <v>6420.9463678350621</v>
      </c>
      <c r="O64" s="64">
        <f t="shared" si="30"/>
        <v>513.67570942680493</v>
      </c>
    </row>
    <row r="65" spans="2:15" ht="15">
      <c r="B65" s="87" t="s">
        <v>84</v>
      </c>
      <c r="C65" s="88">
        <v>2500000</v>
      </c>
      <c r="D65" s="52">
        <f t="shared" si="24"/>
        <v>12631.57894736842</v>
      </c>
      <c r="E65" s="52">
        <f t="shared" si="31"/>
        <v>2526.3157894736842</v>
      </c>
      <c r="F65" s="52">
        <f t="shared" si="32"/>
        <v>3789.4736842105258</v>
      </c>
      <c r="G65" s="52">
        <f t="shared" si="33"/>
        <v>5052.6315789473683</v>
      </c>
      <c r="H65" s="52">
        <f t="shared" si="25"/>
        <v>2526.3157894736842</v>
      </c>
      <c r="I65" s="52">
        <f t="shared" si="26"/>
        <v>2526.3157894736842</v>
      </c>
      <c r="J65" s="52">
        <f t="shared" si="27"/>
        <v>1894.7368421052629</v>
      </c>
      <c r="K65" s="52">
        <f t="shared" si="28"/>
        <v>631.57894736842104</v>
      </c>
      <c r="L65" s="52">
        <f t="shared" si="34"/>
        <v>18947.36842105263</v>
      </c>
      <c r="M65" s="53">
        <f t="shared" si="29"/>
        <v>1894.7368421052629</v>
      </c>
      <c r="N65" s="53">
        <f t="shared" si="35"/>
        <v>7894.7368421052624</v>
      </c>
      <c r="O65" s="54">
        <f t="shared" si="30"/>
        <v>631.57894736842104</v>
      </c>
    </row>
    <row r="66" spans="2:15" ht="15.75" thickBot="1">
      <c r="B66" s="89"/>
      <c r="C66" s="90">
        <v>5000000</v>
      </c>
      <c r="D66" s="62">
        <f t="shared" si="24"/>
        <v>24000</v>
      </c>
      <c r="E66" s="62">
        <f t="shared" si="31"/>
        <v>4800</v>
      </c>
      <c r="F66" s="62">
        <f t="shared" si="32"/>
        <v>7200</v>
      </c>
      <c r="G66" s="62">
        <f t="shared" si="33"/>
        <v>9600</v>
      </c>
      <c r="H66" s="62">
        <f t="shared" si="25"/>
        <v>4800</v>
      </c>
      <c r="I66" s="62">
        <f t="shared" si="26"/>
        <v>4800</v>
      </c>
      <c r="J66" s="62">
        <f t="shared" si="27"/>
        <v>3600</v>
      </c>
      <c r="K66" s="62">
        <f t="shared" si="28"/>
        <v>1200</v>
      </c>
      <c r="L66" s="62">
        <f t="shared" si="34"/>
        <v>36000</v>
      </c>
      <c r="M66" s="63">
        <f t="shared" si="29"/>
        <v>3600</v>
      </c>
      <c r="N66" s="63">
        <f t="shared" si="35"/>
        <v>15000</v>
      </c>
      <c r="O66" s="64">
        <f t="shared" si="30"/>
        <v>1200</v>
      </c>
    </row>
    <row r="67" spans="2:15" ht="15">
      <c r="B67" s="96" t="s">
        <v>85</v>
      </c>
      <c r="C67" s="92">
        <v>10000000</v>
      </c>
      <c r="D67" s="52">
        <f t="shared" si="24"/>
        <v>45600</v>
      </c>
      <c r="E67" s="52">
        <f t="shared" si="31"/>
        <v>9120</v>
      </c>
      <c r="F67" s="52">
        <f t="shared" si="32"/>
        <v>13680</v>
      </c>
      <c r="G67" s="52">
        <f t="shared" si="33"/>
        <v>18240</v>
      </c>
      <c r="H67" s="52">
        <f t="shared" si="25"/>
        <v>9120</v>
      </c>
      <c r="I67" s="52">
        <f t="shared" si="26"/>
        <v>9120</v>
      </c>
      <c r="J67" s="52">
        <f t="shared" si="27"/>
        <v>6840</v>
      </c>
      <c r="K67" s="52">
        <f t="shared" si="28"/>
        <v>2280</v>
      </c>
      <c r="L67" s="52">
        <f t="shared" si="34"/>
        <v>68400</v>
      </c>
      <c r="M67" s="53">
        <f t="shared" si="29"/>
        <v>6840</v>
      </c>
      <c r="N67" s="53">
        <f t="shared" si="35"/>
        <v>28500</v>
      </c>
      <c r="O67" s="54">
        <f t="shared" si="30"/>
        <v>2280</v>
      </c>
    </row>
    <row r="68" spans="2:15" ht="15.75" thickBot="1">
      <c r="B68" s="93"/>
      <c r="C68" s="94">
        <v>20000000</v>
      </c>
      <c r="D68" s="75">
        <f t="shared" si="24"/>
        <v>72960</v>
      </c>
      <c r="E68" s="75">
        <f t="shared" si="31"/>
        <v>14592</v>
      </c>
      <c r="F68" s="75">
        <f t="shared" si="32"/>
        <v>21888</v>
      </c>
      <c r="G68" s="75">
        <f t="shared" si="33"/>
        <v>29184</v>
      </c>
      <c r="H68" s="75">
        <f t="shared" si="25"/>
        <v>14592</v>
      </c>
      <c r="I68" s="75">
        <f t="shared" si="26"/>
        <v>14592</v>
      </c>
      <c r="J68" s="75">
        <f t="shared" si="27"/>
        <v>10944</v>
      </c>
      <c r="K68" s="75">
        <f t="shared" si="28"/>
        <v>3648</v>
      </c>
      <c r="L68" s="75">
        <f t="shared" si="34"/>
        <v>109440</v>
      </c>
      <c r="M68" s="76">
        <f t="shared" si="29"/>
        <v>10944</v>
      </c>
      <c r="N68" s="76">
        <f t="shared" si="35"/>
        <v>45600</v>
      </c>
      <c r="O68" s="77">
        <f t="shared" si="30"/>
        <v>3648</v>
      </c>
    </row>
    <row r="70" spans="2:15" hidden="1"/>
    <row r="71" spans="2:15" hidden="1"/>
    <row r="72" spans="2:15" hidden="1">
      <c r="O72" s="1"/>
    </row>
    <row r="73" spans="2:15" hidden="1">
      <c r="J73" s="97" t="s">
        <v>89</v>
      </c>
      <c r="K73" s="98"/>
      <c r="L73" s="98"/>
      <c r="M73" s="98"/>
      <c r="N73" s="1"/>
    </row>
    <row r="74" spans="2:15" hidden="1">
      <c r="J74" s="99" t="s">
        <v>90</v>
      </c>
      <c r="K74" s="99" t="s">
        <v>91</v>
      </c>
      <c r="L74" s="99" t="s">
        <v>76</v>
      </c>
      <c r="M74" s="100" t="s">
        <v>79</v>
      </c>
      <c r="N74" s="101"/>
    </row>
    <row r="75" spans="2:15" hidden="1">
      <c r="I75" t="s">
        <v>69</v>
      </c>
      <c r="J75" s="102">
        <v>0.15</v>
      </c>
      <c r="K75" s="102">
        <v>0.1</v>
      </c>
      <c r="L75" s="102">
        <v>0.05</v>
      </c>
      <c r="M75" s="103">
        <v>0.05</v>
      </c>
      <c r="N75" s="104"/>
    </row>
    <row r="76" spans="2:15" hidden="1">
      <c r="I76" t="s">
        <v>86</v>
      </c>
      <c r="J76" s="102">
        <v>0.2</v>
      </c>
      <c r="K76" s="102">
        <v>0.15</v>
      </c>
      <c r="L76" s="102">
        <v>0.1</v>
      </c>
      <c r="M76" s="103">
        <v>0.1</v>
      </c>
      <c r="N76" s="104"/>
    </row>
    <row r="77" spans="2:15" hidden="1">
      <c r="I77" t="s">
        <v>87</v>
      </c>
      <c r="J77" s="102">
        <v>0.2</v>
      </c>
      <c r="K77" s="102">
        <v>0.2</v>
      </c>
      <c r="L77" s="102">
        <v>0.15</v>
      </c>
      <c r="M77" s="103">
        <v>0.15</v>
      </c>
      <c r="N77" s="104"/>
    </row>
    <row r="78" spans="2:15" hidden="1"/>
    <row r="80" spans="2:15">
      <c r="M80" s="1"/>
      <c r="N80" s="1"/>
    </row>
    <row r="81" spans="2:15" ht="18">
      <c r="C81" s="105" t="s">
        <v>92</v>
      </c>
      <c r="D81" s="33"/>
      <c r="E81" s="33"/>
      <c r="M81" s="1"/>
      <c r="N81" s="1"/>
    </row>
    <row r="84" spans="2:15" ht="16.5">
      <c r="F84" s="106"/>
    </row>
    <row r="85" spans="2:15" ht="18.75" thickBot="1">
      <c r="O85" s="107"/>
    </row>
    <row r="86" spans="2:15" ht="18">
      <c r="C86" s="108" t="s">
        <v>93</v>
      </c>
      <c r="D86" s="109"/>
      <c r="E86" s="109"/>
      <c r="F86" s="110" t="s">
        <v>94</v>
      </c>
      <c r="G86" s="1"/>
      <c r="H86" s="108" t="s">
        <v>95</v>
      </c>
      <c r="I86" s="111"/>
      <c r="J86" s="111"/>
      <c r="K86" s="112" t="s">
        <v>96</v>
      </c>
      <c r="M86" s="108" t="s">
        <v>97</v>
      </c>
      <c r="N86" s="113"/>
      <c r="O86" s="107"/>
    </row>
    <row r="87" spans="2:15" ht="18">
      <c r="B87" s="1"/>
      <c r="C87" s="114"/>
      <c r="D87" s="115"/>
      <c r="E87" s="115"/>
      <c r="F87" s="116" t="s">
        <v>98</v>
      </c>
      <c r="G87" s="1"/>
      <c r="H87" s="117">
        <v>1</v>
      </c>
      <c r="I87" s="118"/>
      <c r="J87" s="118" t="s">
        <v>99</v>
      </c>
      <c r="K87" s="119">
        <v>0</v>
      </c>
      <c r="M87" s="120" t="s">
        <v>100</v>
      </c>
      <c r="N87" s="121"/>
      <c r="O87" s="122"/>
    </row>
    <row r="88" spans="2:15" ht="18">
      <c r="B88" s="1"/>
      <c r="C88" s="123">
        <v>0</v>
      </c>
      <c r="D88" s="124" t="s">
        <v>101</v>
      </c>
      <c r="E88" s="125">
        <v>100000</v>
      </c>
      <c r="F88" s="126">
        <f>-50/(100)</f>
        <v>-0.5</v>
      </c>
      <c r="G88" s="1"/>
      <c r="H88" s="127">
        <v>100000</v>
      </c>
      <c r="I88" s="128" t="s">
        <v>101</v>
      </c>
      <c r="J88" s="129">
        <v>250000</v>
      </c>
      <c r="K88" s="119">
        <v>0.05</v>
      </c>
      <c r="M88" s="117"/>
      <c r="N88" s="130"/>
      <c r="O88" s="122"/>
    </row>
    <row r="89" spans="2:15" ht="18">
      <c r="B89" s="1"/>
      <c r="C89" s="131">
        <v>100000</v>
      </c>
      <c r="D89" s="124" t="s">
        <v>101</v>
      </c>
      <c r="E89" s="132">
        <v>500000</v>
      </c>
      <c r="F89" s="126">
        <f>-40/(100)</f>
        <v>-0.4</v>
      </c>
      <c r="G89" s="1"/>
      <c r="H89" s="127">
        <v>250000</v>
      </c>
      <c r="I89" s="128" t="s">
        <v>101</v>
      </c>
      <c r="J89" s="129">
        <v>500000</v>
      </c>
      <c r="K89" s="119">
        <v>7.0000000000000007E-2</v>
      </c>
      <c r="M89" s="117"/>
      <c r="N89" s="133" t="s">
        <v>96</v>
      </c>
      <c r="O89" s="122"/>
    </row>
    <row r="90" spans="2:15" ht="18">
      <c r="B90" s="1"/>
      <c r="C90" s="131">
        <v>500000</v>
      </c>
      <c r="D90" s="124" t="s">
        <v>101</v>
      </c>
      <c r="E90" s="132">
        <v>1000000</v>
      </c>
      <c r="F90" s="126">
        <f>-35/(100)</f>
        <v>-0.35</v>
      </c>
      <c r="G90" s="1"/>
      <c r="H90" s="127">
        <v>500000</v>
      </c>
      <c r="I90" s="128" t="s">
        <v>101</v>
      </c>
      <c r="J90" s="129">
        <v>1000000</v>
      </c>
      <c r="K90" s="119">
        <v>0.1</v>
      </c>
      <c r="M90" s="134">
        <v>0</v>
      </c>
      <c r="N90" s="119">
        <v>0</v>
      </c>
      <c r="O90" s="122"/>
    </row>
    <row r="91" spans="2:15" ht="18">
      <c r="B91" s="1"/>
      <c r="C91" s="131">
        <v>1000000</v>
      </c>
      <c r="D91" s="124" t="s">
        <v>101</v>
      </c>
      <c r="E91" s="132">
        <v>2500000</v>
      </c>
      <c r="F91" s="126">
        <f>-30/(100)</f>
        <v>-0.3</v>
      </c>
      <c r="G91" s="1"/>
      <c r="H91" s="127">
        <v>1000000</v>
      </c>
      <c r="I91" s="128" t="s">
        <v>101</v>
      </c>
      <c r="J91" s="129">
        <v>2500000</v>
      </c>
      <c r="K91" s="119">
        <v>0.15</v>
      </c>
      <c r="M91" s="117" t="s">
        <v>102</v>
      </c>
      <c r="N91" s="119">
        <v>1E-3</v>
      </c>
      <c r="O91" s="122"/>
    </row>
    <row r="92" spans="2:15" ht="18">
      <c r="B92" s="1"/>
      <c r="C92" s="131">
        <v>2500000</v>
      </c>
      <c r="D92" s="124" t="s">
        <v>101</v>
      </c>
      <c r="E92" s="132">
        <v>5000000</v>
      </c>
      <c r="F92" s="126">
        <f>-20/(100)</f>
        <v>-0.2</v>
      </c>
      <c r="G92" s="1"/>
      <c r="H92" s="127">
        <v>2500000</v>
      </c>
      <c r="I92" s="128" t="s">
        <v>101</v>
      </c>
      <c r="J92" s="129">
        <v>5000000</v>
      </c>
      <c r="K92" s="119">
        <v>0.2</v>
      </c>
      <c r="M92" s="117" t="s">
        <v>103</v>
      </c>
      <c r="N92" s="119">
        <v>0.1</v>
      </c>
      <c r="O92" s="122"/>
    </row>
    <row r="93" spans="2:15" ht="18">
      <c r="B93" s="1"/>
      <c r="C93" s="131">
        <v>5000000</v>
      </c>
      <c r="D93" s="124" t="s">
        <v>101</v>
      </c>
      <c r="E93" s="132">
        <v>10000000</v>
      </c>
      <c r="F93" s="126">
        <f>-10/(100)</f>
        <v>-0.1</v>
      </c>
      <c r="G93" s="1"/>
      <c r="H93" s="127">
        <v>5000000</v>
      </c>
      <c r="I93" s="128" t="s">
        <v>101</v>
      </c>
      <c r="J93" s="129">
        <v>10000000</v>
      </c>
      <c r="K93" s="119">
        <v>0.25</v>
      </c>
      <c r="M93" s="117" t="s">
        <v>104</v>
      </c>
      <c r="N93" s="119">
        <v>0.2</v>
      </c>
      <c r="O93" s="122"/>
    </row>
    <row r="94" spans="2:15" ht="18">
      <c r="B94" s="1"/>
      <c r="C94" s="131">
        <v>10000000</v>
      </c>
      <c r="D94" s="124" t="s">
        <v>101</v>
      </c>
      <c r="E94" s="132">
        <v>25000000</v>
      </c>
      <c r="F94" s="126">
        <f>0/(100)</f>
        <v>0</v>
      </c>
      <c r="G94" s="1"/>
      <c r="H94" s="127">
        <v>10000000</v>
      </c>
      <c r="I94" s="128" t="s">
        <v>101</v>
      </c>
      <c r="J94" s="129">
        <v>20000000</v>
      </c>
      <c r="K94" s="119">
        <v>0.3</v>
      </c>
      <c r="M94" s="117" t="s">
        <v>105</v>
      </c>
      <c r="N94" s="119">
        <v>0.3</v>
      </c>
      <c r="O94" s="135"/>
    </row>
    <row r="95" spans="2:15" ht="18">
      <c r="B95" s="1"/>
      <c r="C95" s="131">
        <v>25000000</v>
      </c>
      <c r="D95" s="124" t="s">
        <v>101</v>
      </c>
      <c r="E95" s="132">
        <v>50000000</v>
      </c>
      <c r="F95" s="136">
        <f>3/(100)</f>
        <v>0.03</v>
      </c>
      <c r="G95" s="1"/>
      <c r="H95" s="127">
        <v>20000000</v>
      </c>
      <c r="I95" s="124" t="s">
        <v>106</v>
      </c>
      <c r="J95" s="129">
        <v>30000000</v>
      </c>
      <c r="K95" s="119">
        <v>0.35</v>
      </c>
      <c r="M95" s="117" t="s">
        <v>107</v>
      </c>
      <c r="N95" s="119">
        <v>0.4</v>
      </c>
      <c r="O95" s="122"/>
    </row>
    <row r="96" spans="2:15" ht="18">
      <c r="B96" s="1"/>
      <c r="C96" s="131">
        <v>50000000</v>
      </c>
      <c r="D96" s="124" t="s">
        <v>101</v>
      </c>
      <c r="E96" s="132">
        <v>75000000</v>
      </c>
      <c r="F96" s="137">
        <f>6/(100)</f>
        <v>0.06</v>
      </c>
      <c r="G96" s="1"/>
      <c r="H96" s="138">
        <v>30000000</v>
      </c>
      <c r="I96" s="139" t="s">
        <v>101</v>
      </c>
      <c r="J96" s="140">
        <v>50000000</v>
      </c>
      <c r="K96" s="141">
        <v>0.4</v>
      </c>
      <c r="M96" s="117" t="s">
        <v>108</v>
      </c>
      <c r="N96" s="119">
        <v>0.5</v>
      </c>
      <c r="O96" s="122"/>
    </row>
    <row r="97" spans="2:15" ht="18">
      <c r="B97" s="1"/>
      <c r="C97" s="131">
        <v>75000000</v>
      </c>
      <c r="D97" s="124" t="s">
        <v>101</v>
      </c>
      <c r="E97" s="132">
        <v>100000000</v>
      </c>
      <c r="F97" s="137">
        <f>10/(100)</f>
        <v>0.1</v>
      </c>
      <c r="G97" s="1"/>
      <c r="H97" s="127">
        <v>50000000</v>
      </c>
      <c r="I97" s="128" t="s">
        <v>101</v>
      </c>
      <c r="J97" s="129">
        <v>100000000</v>
      </c>
      <c r="K97" s="119">
        <v>0.45</v>
      </c>
      <c r="M97" s="117" t="s">
        <v>109</v>
      </c>
      <c r="N97" s="119">
        <v>0.6</v>
      </c>
      <c r="O97" s="122"/>
    </row>
    <row r="98" spans="2:15" ht="18.75" thickBot="1">
      <c r="B98" s="1"/>
      <c r="C98" s="131">
        <v>100000000</v>
      </c>
      <c r="D98" s="124" t="s">
        <v>101</v>
      </c>
      <c r="E98" s="132">
        <v>150000000</v>
      </c>
      <c r="F98" s="137">
        <f>11.5/(100)</f>
        <v>0.115</v>
      </c>
      <c r="H98" s="142">
        <v>100000000</v>
      </c>
      <c r="I98" s="143" t="s">
        <v>110</v>
      </c>
      <c r="J98" s="144"/>
      <c r="K98" s="145">
        <v>0.5</v>
      </c>
      <c r="M98" s="117" t="s">
        <v>111</v>
      </c>
      <c r="N98" s="119">
        <v>0.7</v>
      </c>
      <c r="O98" s="146"/>
    </row>
    <row r="99" spans="2:15" ht="18.75" thickBot="1">
      <c r="B99" s="1"/>
      <c r="C99" s="131">
        <v>150000000</v>
      </c>
      <c r="D99" s="124" t="s">
        <v>101</v>
      </c>
      <c r="E99" s="132">
        <v>250000000</v>
      </c>
      <c r="F99" s="137">
        <f>20/(100)</f>
        <v>0.2</v>
      </c>
      <c r="M99" s="117" t="s">
        <v>112</v>
      </c>
      <c r="N99" s="119">
        <v>0.8</v>
      </c>
      <c r="O99" s="147"/>
    </row>
    <row r="100" spans="2:15" ht="18.75" thickBot="1">
      <c r="B100" s="1"/>
      <c r="C100" s="131">
        <v>250000000</v>
      </c>
      <c r="D100" s="124" t="s">
        <v>101</v>
      </c>
      <c r="E100" s="132">
        <v>500000000</v>
      </c>
      <c r="F100" s="137">
        <f>25/(100)</f>
        <v>0.25</v>
      </c>
      <c r="H100" s="108" t="s">
        <v>113</v>
      </c>
      <c r="I100" s="148" t="s">
        <v>114</v>
      </c>
      <c r="J100" s="148" t="s">
        <v>115</v>
      </c>
      <c r="K100" s="149" t="s">
        <v>116</v>
      </c>
      <c r="M100" s="150" t="s">
        <v>117</v>
      </c>
      <c r="N100" s="145">
        <v>0.9</v>
      </c>
      <c r="O100" s="151"/>
    </row>
    <row r="101" spans="2:15" ht="18.75" thickBot="1">
      <c r="B101" s="1"/>
      <c r="C101" s="131">
        <v>500000000</v>
      </c>
      <c r="D101" s="124" t="s">
        <v>101</v>
      </c>
      <c r="E101" s="132">
        <v>1000000000</v>
      </c>
      <c r="F101" s="137">
        <f>27.5/(100)</f>
        <v>0.27500000000000002</v>
      </c>
      <c r="H101" s="152" t="s">
        <v>118</v>
      </c>
      <c r="I101" s="153">
        <v>1000</v>
      </c>
      <c r="J101" s="154">
        <v>12</v>
      </c>
      <c r="K101" s="155">
        <v>0</v>
      </c>
      <c r="O101" s="151"/>
    </row>
    <row r="102" spans="2:15" ht="18">
      <c r="B102" s="1"/>
      <c r="C102" s="156">
        <v>1000000000</v>
      </c>
      <c r="D102" s="128" t="s">
        <v>101</v>
      </c>
      <c r="E102" s="157">
        <v>2500000000</v>
      </c>
      <c r="F102" s="137">
        <f>30/(100)</f>
        <v>0.3</v>
      </c>
      <c r="H102" s="152"/>
      <c r="I102" s="153">
        <v>2500</v>
      </c>
      <c r="J102" s="154">
        <v>12</v>
      </c>
      <c r="K102" s="155">
        <v>-10</v>
      </c>
      <c r="M102" s="108" t="s">
        <v>119</v>
      </c>
      <c r="N102" s="158"/>
      <c r="O102" s="151"/>
    </row>
    <row r="103" spans="2:15" ht="18">
      <c r="B103" s="1"/>
      <c r="C103" s="156">
        <v>2500000000</v>
      </c>
      <c r="D103" s="128" t="s">
        <v>101</v>
      </c>
      <c r="E103" s="159">
        <v>5000000000</v>
      </c>
      <c r="F103" s="137">
        <f>32.5/(100)</f>
        <v>0.32500000000000001</v>
      </c>
      <c r="H103" s="152"/>
      <c r="I103" s="153">
        <v>5000</v>
      </c>
      <c r="J103" s="154">
        <v>12</v>
      </c>
      <c r="K103" s="155">
        <v>-20</v>
      </c>
      <c r="M103" s="117"/>
      <c r="N103" s="133" t="s">
        <v>96</v>
      </c>
      <c r="O103" s="151"/>
    </row>
    <row r="104" spans="2:15" ht="18">
      <c r="B104" s="1"/>
      <c r="C104" s="156">
        <v>5000000000</v>
      </c>
      <c r="D104" s="128" t="s">
        <v>101</v>
      </c>
      <c r="E104" s="159">
        <v>10000000000</v>
      </c>
      <c r="F104" s="137">
        <f>35/(100)</f>
        <v>0.35</v>
      </c>
      <c r="H104" s="160" t="s">
        <v>120</v>
      </c>
      <c r="I104" s="161">
        <v>2500</v>
      </c>
      <c r="J104" s="162">
        <v>12</v>
      </c>
      <c r="K104" s="163">
        <v>0</v>
      </c>
      <c r="M104" s="164" t="s">
        <v>121</v>
      </c>
      <c r="N104" s="119">
        <v>-0.1</v>
      </c>
      <c r="O104" s="151"/>
    </row>
    <row r="105" spans="2:15" ht="18.75" thickBot="1">
      <c r="B105" s="1"/>
      <c r="C105" s="156">
        <v>10000000000</v>
      </c>
      <c r="D105" s="128" t="s">
        <v>101</v>
      </c>
      <c r="E105" s="159">
        <v>20000000000</v>
      </c>
      <c r="F105" s="137">
        <f>37.5/(100)</f>
        <v>0.375</v>
      </c>
      <c r="H105" s="160"/>
      <c r="I105" s="161">
        <v>5000</v>
      </c>
      <c r="J105" s="162">
        <v>12</v>
      </c>
      <c r="K105" s="163">
        <v>-10</v>
      </c>
      <c r="M105" s="165" t="s">
        <v>122</v>
      </c>
      <c r="N105" s="145">
        <v>0</v>
      </c>
      <c r="O105" s="151"/>
    </row>
    <row r="106" spans="2:15" ht="18">
      <c r="B106" s="1"/>
      <c r="C106" s="156">
        <v>20000000000</v>
      </c>
      <c r="D106" s="128" t="s">
        <v>101</v>
      </c>
      <c r="E106" s="159">
        <v>30000000000</v>
      </c>
      <c r="F106" s="137">
        <f>40/(100)</f>
        <v>0.4</v>
      </c>
      <c r="H106" s="160"/>
      <c r="I106" s="161">
        <v>7500</v>
      </c>
      <c r="J106" s="162">
        <v>12</v>
      </c>
      <c r="K106" s="163">
        <v>-15</v>
      </c>
      <c r="O106" s="151"/>
    </row>
    <row r="107" spans="2:15" ht="18.75" thickBot="1">
      <c r="B107" s="1"/>
      <c r="C107" s="156">
        <v>30000000000</v>
      </c>
      <c r="D107" s="128" t="s">
        <v>101</v>
      </c>
      <c r="E107" s="157">
        <v>40000000000</v>
      </c>
      <c r="F107" s="137">
        <f>42.5/(100)</f>
        <v>0.42499999999999999</v>
      </c>
      <c r="H107" s="160"/>
      <c r="I107" s="161">
        <v>10000</v>
      </c>
      <c r="J107" s="162">
        <v>12</v>
      </c>
      <c r="K107" s="163">
        <v>-20</v>
      </c>
      <c r="O107" s="166"/>
    </row>
    <row r="108" spans="2:15" ht="18.75" thickBot="1">
      <c r="C108" s="167">
        <v>40000000000</v>
      </c>
      <c r="D108" s="168" t="s">
        <v>123</v>
      </c>
      <c r="E108" s="169"/>
      <c r="F108" s="170">
        <f>45/(100)</f>
        <v>0.45</v>
      </c>
      <c r="H108" s="171" t="s">
        <v>124</v>
      </c>
      <c r="I108" s="172">
        <v>10000</v>
      </c>
      <c r="J108" s="173">
        <v>12</v>
      </c>
      <c r="K108" s="174">
        <v>0</v>
      </c>
      <c r="M108" s="108" t="s">
        <v>125</v>
      </c>
      <c r="N108" s="112"/>
      <c r="O108" s="166"/>
    </row>
    <row r="109" spans="2:15" ht="18">
      <c r="B109" t="str">
        <f>C109&amp;" "&amp;D109&amp;" "&amp;E109</f>
        <v xml:space="preserve">  </v>
      </c>
      <c r="H109" s="171"/>
      <c r="I109" s="172">
        <v>20000</v>
      </c>
      <c r="J109" s="173">
        <v>12</v>
      </c>
      <c r="K109" s="174">
        <v>-5</v>
      </c>
      <c r="M109" s="175"/>
      <c r="N109" s="176" t="s">
        <v>126</v>
      </c>
      <c r="O109" s="166"/>
    </row>
    <row r="110" spans="2:15" ht="18">
      <c r="B110" s="177" t="str">
        <f>C110&amp;" "&amp;D110&amp;" "&amp;E110</f>
        <v xml:space="preserve">  </v>
      </c>
      <c r="H110" s="171"/>
      <c r="I110" s="172">
        <v>50000</v>
      </c>
      <c r="J110" s="173">
        <v>12</v>
      </c>
      <c r="K110" s="174">
        <v>-10</v>
      </c>
      <c r="M110" s="164" t="s">
        <v>127</v>
      </c>
      <c r="N110" s="178">
        <v>-0.2</v>
      </c>
      <c r="O110" s="166"/>
    </row>
    <row r="111" spans="2:15" ht="18">
      <c r="B111" t="str">
        <f>C111&amp;" "&amp;D111&amp;" "&amp;E111</f>
        <v xml:space="preserve">  </v>
      </c>
      <c r="H111" s="171"/>
      <c r="I111" s="172">
        <v>100000</v>
      </c>
      <c r="J111" s="173">
        <v>12</v>
      </c>
      <c r="K111" s="174">
        <v>-15</v>
      </c>
      <c r="M111" s="164" t="s">
        <v>128</v>
      </c>
      <c r="N111" s="178">
        <v>0</v>
      </c>
      <c r="O111" s="166"/>
    </row>
    <row r="112" spans="2:15" ht="18" customHeight="1">
      <c r="C112" s="179"/>
      <c r="D112" s="147"/>
      <c r="H112" s="171"/>
      <c r="I112" s="172">
        <v>250000</v>
      </c>
      <c r="J112" s="173">
        <v>12</v>
      </c>
      <c r="K112" s="174">
        <v>-20</v>
      </c>
      <c r="M112" s="164" t="s">
        <v>129</v>
      </c>
      <c r="N112" s="178">
        <v>0.1</v>
      </c>
      <c r="O112" s="166"/>
    </row>
    <row r="113" spans="3:15" ht="21" thickBot="1">
      <c r="C113" s="180"/>
      <c r="D113" s="181"/>
      <c r="H113" s="171"/>
      <c r="I113" s="172">
        <v>500000</v>
      </c>
      <c r="J113" s="173">
        <v>12</v>
      </c>
      <c r="K113" s="174">
        <v>-25</v>
      </c>
      <c r="M113" s="165" t="s">
        <v>130</v>
      </c>
      <c r="N113" s="182">
        <v>0.2</v>
      </c>
      <c r="O113" s="183"/>
    </row>
    <row r="114" spans="3:15" ht="21" thickBot="1">
      <c r="C114" s="184"/>
      <c r="D114" s="181"/>
      <c r="H114" s="185"/>
      <c r="I114" s="186" t="s">
        <v>131</v>
      </c>
      <c r="J114" s="187">
        <v>12</v>
      </c>
      <c r="K114" s="188">
        <v>-30</v>
      </c>
    </row>
    <row r="115" spans="3:15" ht="20.25">
      <c r="C115" s="184"/>
      <c r="D115" s="181"/>
    </row>
    <row r="116" spans="3:15" ht="20.25">
      <c r="C116" s="184"/>
      <c r="D116" s="181"/>
    </row>
    <row r="117" spans="3:15" ht="20.25">
      <c r="C117" s="184"/>
      <c r="D117" s="181"/>
    </row>
  </sheetData>
  <sheetProtection algorithmName="SHA-512" hashValue="C/NRaX7RPZP36GwQYJ3ubeZu2wzspeohfBbK63BX5MARNjFlQy4Y6m03omMPEsOW2AAbV13b/6Y/QStK0QjVZg==" saltValue="9hUkb0HepELEEzH6Eay7PQ==" spinCount="100000" sheet="1" objects="1" scenarios="1"/>
  <mergeCells count="1">
    <mergeCell ref="C4:G4"/>
  </mergeCells>
  <pageMargins left="0.70866141732283472" right="0.70866141732283472" top="0.78740157480314965" bottom="0.78740157480314965" header="0.31496062992125984" footer="0.31496062992125984"/>
  <pageSetup paperSize="9" scale="53" fitToHeight="2" orientation="landscape" r:id="rId1"/>
  <rowBreaks count="1" manualBreakCount="1">
    <brk id="54" max="16383" man="1"/>
  </rowBreaks>
  <colBreaks count="1" manualBreakCount="1">
    <brk id="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TaxCatchAll xmlns="69c9c27f-c0cf-4694-a49d-c73c10e50883">
      <Value>153</Value>
      <Value>101</Value>
      <Value>247</Value>
      <Value>167</Value>
      <Value>168</Value>
    </TaxCatchAll>
    <ac5ab0db1224484c8ff3530d1a80034b xmlns="4c63a5e7-cad9-4745-878d-f755f9a94c25">
      <Terms xmlns="http://schemas.microsoft.com/office/infopath/2007/PartnerControls">
        <TermInfo xmlns="http://schemas.microsoft.com/office/infopath/2007/PartnerControls">
          <TermName xmlns="http://schemas.microsoft.com/office/infopath/2007/PartnerControls">Firma</TermName>
          <TermId xmlns="http://schemas.microsoft.com/office/infopath/2007/PartnerControls">167be959-8630-49e9-b1ed-5a677193fb7f</TermId>
        </TermInfo>
      </Terms>
    </ac5ab0db1224484c8ff3530d1a80034b>
    <l667ee79164840bdb4a9452a569ac728 xmlns="4c63a5e7-cad9-4745-878d-f755f9a94c25">
      <Terms xmlns="http://schemas.microsoft.com/office/infopath/2007/PartnerControls"/>
    </l667ee79164840bdb4a9452a569ac728>
    <l23a3e453b3241daa82a2bb55d267145 xmlns="4c63a5e7-cad9-4745-878d-f755f9a94c25">
      <Terms xmlns="http://schemas.microsoft.com/office/infopath/2007/PartnerControls">
        <TermInfo xmlns="http://schemas.microsoft.com/office/infopath/2007/PartnerControls">
          <TermName xmlns="http://schemas.microsoft.com/office/infopath/2007/PartnerControls">Betrieb ＆ Absicherung</TermName>
          <TermId xmlns="http://schemas.microsoft.com/office/infopath/2007/PartnerControls">8dc302e5-1b83-47d1-bafb-d7a98ecb1e76</TermId>
        </TermInfo>
      </Terms>
    </l23a3e453b3241daa82a2bb55d267145>
    <o4a5afe9a63d4b47bfdabe9ba21621de xmlns="4c63a5e7-cad9-4745-878d-f755f9a94c25">
      <Terms xmlns="http://schemas.microsoft.com/office/infopath/2007/PartnerControls">
        <TermInfo xmlns="http://schemas.microsoft.com/office/infopath/2007/PartnerControls">
          <TermName xmlns="http://schemas.microsoft.com/office/infopath/2007/PartnerControls">Cyber Protect</TermName>
          <TermId xmlns="http://schemas.microsoft.com/office/infopath/2007/PartnerControls">e1527133-7e7c-4f29-be51-80f8cbd77612</TermId>
        </TermInfo>
      </Terms>
    </o4a5afe9a63d4b47bfdabe9ba21621de>
    <g78efe6d6e3744afb93eeabbba4969d5 xmlns="4c63a5e7-cad9-4745-878d-f755f9a94c25">
      <Terms xmlns="http://schemas.microsoft.com/office/infopath/2007/PartnerControls">
        <TermInfo xmlns="http://schemas.microsoft.com/office/infopath/2007/PartnerControls">
          <TermName xmlns="http://schemas.microsoft.com/office/infopath/2007/PartnerControls">Technik ＆ IT</TermName>
          <TermId xmlns="http://schemas.microsoft.com/office/infopath/2007/PartnerControls">625a586d-a001-49bb-a2e1-90f009a1bc15</TermId>
        </TermInfo>
      </Terms>
    </g78efe6d6e3744afb93eeabbba4969d5>
    <TaxKeywordTaxHTField xmlns="69c9c27f-c0cf-4694-a49d-c73c10e50883">
      <Terms xmlns="http://schemas.microsoft.com/office/infopath/2007/PartnerControls"/>
    </TaxKeywordTaxHTField>
    <Art xmlns="4c63a5e7-cad9-4745-878d-f755f9a94c25">Sonstige Produktguidelines</Art>
    <g4f6d5280194439a8b6275c385c28389 xmlns="4c63a5e7-cad9-4745-878d-f755f9a94c25">
      <Terms xmlns="http://schemas.microsoft.com/office/infopath/2007/PartnerControls">
        <TermInfo xmlns="http://schemas.microsoft.com/office/infopath/2007/PartnerControls">
          <TermName xmlns="http://schemas.microsoft.com/office/infopath/2007/PartnerControls">Sonstige Produktguidelines</TermName>
          <TermId xmlns="http://schemas.microsoft.com/office/infopath/2007/PartnerControls">76069887-5129-4d44-909e-2894d560f0d4</TermId>
        </TermInfo>
      </Terms>
    </g4f6d5280194439a8b6275c385c28389>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9D6B3FCE05D284C99D669161EC92C92" ma:contentTypeVersion="25" ma:contentTypeDescription="Ein neues Dokument erstellen." ma:contentTypeScope="" ma:versionID="67af27e56730c5a20a510463bcee0d63">
  <xsd:schema xmlns:xsd="http://www.w3.org/2001/XMLSchema" xmlns:xs="http://www.w3.org/2001/XMLSchema" xmlns:p="http://schemas.microsoft.com/office/2006/metadata/properties" xmlns:ns1="http://schemas.microsoft.com/sharepoint/v3" xmlns:ns2="4c63a5e7-cad9-4745-878d-f755f9a94c25" xmlns:ns3="69c9c27f-c0cf-4694-a49d-c73c10e50883" targetNamespace="http://schemas.microsoft.com/office/2006/metadata/properties" ma:root="true" ma:fieldsID="d6ddc820ff4eb37a8c903e0d3d2d253f" ns1:_="" ns2:_="" ns3:_="">
    <xsd:import namespace="http://schemas.microsoft.com/sharepoint/v3"/>
    <xsd:import namespace="4c63a5e7-cad9-4745-878d-f755f9a94c25"/>
    <xsd:import namespace="69c9c27f-c0cf-4694-a49d-c73c10e50883"/>
    <xsd:element name="properties">
      <xsd:complexType>
        <xsd:sequence>
          <xsd:element name="documentManagement">
            <xsd:complexType>
              <xsd:all>
                <xsd:element ref="ns1:PublishingStartDate" minOccurs="0"/>
                <xsd:element ref="ns1:PublishingExpirationDate" minOccurs="0"/>
                <xsd:element ref="ns2:o4a5afe9a63d4b47bfdabe9ba21621de" minOccurs="0"/>
                <xsd:element ref="ns3:TaxCatchAll" minOccurs="0"/>
                <xsd:element ref="ns2:l667ee79164840bdb4a9452a569ac728" minOccurs="0"/>
                <xsd:element ref="ns2:l23a3e453b3241daa82a2bb55d267145" minOccurs="0"/>
                <xsd:element ref="ns2:g78efe6d6e3744afb93eeabbba4969d5" minOccurs="0"/>
                <xsd:element ref="ns2:ac5ab0db1224484c8ff3530d1a80034b" minOccurs="0"/>
                <xsd:element ref="ns3:TaxKeywordTaxHTField" minOccurs="0"/>
                <xsd:element ref="ns2:Art" minOccurs="0"/>
                <xsd:element ref="ns2:g4f6d5280194439a8b6275c385c2838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Geplantes Startdatum" ma:description="Geplantes Startdatum ist eine Websitespalte, die über das Feature zum Veröffentlichen erstellt wird. Es wird zur Angabe des Datums und der Uhrzeit verwendet, wann diese Seite Besuchern zum ersten Mal angezeigt wird." ma:hidden="true" ma:internalName="PublishingStartDate">
      <xsd:simpleType>
        <xsd:restriction base="dms:Unknown"/>
      </xsd:simpleType>
    </xsd:element>
    <xsd:element name="PublishingExpirationDate" ma:index="10" nillable="true" ma:displayName="Geplantes Enddatum" ma:description="Geplantes Enddatum ist eine Websitespalte, die über das Feature zum Veröffentlichen erstellt wird. Es wird zur Angabe des Datums und der Uhrzeit verwendet, wann diese Seite Besuchern nicht mehr angezeigt wird."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c63a5e7-cad9-4745-878d-f755f9a94c25" elementFormDefault="qualified">
    <xsd:import namespace="http://schemas.microsoft.com/office/2006/documentManagement/types"/>
    <xsd:import namespace="http://schemas.microsoft.com/office/infopath/2007/PartnerControls"/>
    <xsd:element name="o4a5afe9a63d4b47bfdabe9ba21621de" ma:index="11" nillable="true" ma:taxonomy="true" ma:internalName="o4a5afe9a63d4b47bfdabe9ba21621de" ma:taxonomyFieldName="Produkt" ma:displayName="Produkt" ma:default="" ma:fieldId="{84a5afe9-a63d-4b47-bfda-be9ba21621de}" ma:taxonomyMulti="true" ma:sspId="94e377b1-2aa4-4f20-8597-6b4aeb7ffd85" ma:termSetId="e4cc985c-9e62-4d20-80d7-463b465675ec" ma:anchorId="00000000-0000-0000-0000-000000000000" ma:open="true" ma:isKeyword="false">
      <xsd:complexType>
        <xsd:sequence>
          <xsd:element ref="pc:Terms" minOccurs="0" maxOccurs="1"/>
        </xsd:sequence>
      </xsd:complexType>
    </xsd:element>
    <xsd:element name="l667ee79164840bdb4a9452a569ac728" ma:index="13" nillable="true" ma:taxonomy="true" ma:internalName="l667ee79164840bdb4a9452a569ac728" ma:taxonomyFieldName="Vertriebsweg" ma:displayName="Vertriebsweg" ma:default="" ma:fieldId="{5667ee79-1648-40bd-b4a9-452a569ac728}" ma:taxonomyMulti="true" ma:sspId="94e377b1-2aa4-4f20-8597-6b4aeb7ffd85" ma:termSetId="92824c46-8197-4119-89ca-7dbfbe470cb3" ma:anchorId="00000000-0000-0000-0000-000000000000" ma:open="false" ma:isKeyword="false">
      <xsd:complexType>
        <xsd:sequence>
          <xsd:element ref="pc:Terms" minOccurs="0" maxOccurs="1"/>
        </xsd:sequence>
      </xsd:complexType>
    </xsd:element>
    <xsd:element name="l23a3e453b3241daa82a2bb55d267145" ma:index="14" nillable="true" ma:taxonomy="true" ma:internalName="l23a3e453b3241daa82a2bb55d267145" ma:taxonomyFieldName="Bedarfswelt" ma:displayName="Bedarfswelt" ma:default="" ma:fieldId="{523a3e45-3b32-41da-a82a-2bb55d267145}" ma:taxonomyMulti="true" ma:sspId="94e377b1-2aa4-4f20-8597-6b4aeb7ffd85" ma:termSetId="eb898f2f-7f19-40aa-bb06-bf2bf651472f" ma:anchorId="00000000-0000-0000-0000-000000000000" ma:open="false" ma:isKeyword="false">
      <xsd:complexType>
        <xsd:sequence>
          <xsd:element ref="pc:Terms" minOccurs="0" maxOccurs="1"/>
        </xsd:sequence>
      </xsd:complexType>
    </xsd:element>
    <xsd:element name="g78efe6d6e3744afb93eeabbba4969d5" ma:index="15" nillable="true" ma:taxonomy="true" ma:internalName="g78efe6d6e3744afb93eeabbba4969d5" ma:taxonomyFieldName="Bereich" ma:displayName="Bereich" ma:readOnly="false" ma:default="" ma:fieldId="{078efe6d-6e37-44af-b93e-eabbba4969d5}" ma:taxonomyMulti="true" ma:sspId="94e377b1-2aa4-4f20-8597-6b4aeb7ffd85" ma:termSetId="e1ee7828-889e-44cc-a8b7-cc63cf701e7d" ma:anchorId="00000000-0000-0000-0000-000000000000" ma:open="false" ma:isKeyword="false">
      <xsd:complexType>
        <xsd:sequence>
          <xsd:element ref="pc:Terms" minOccurs="0" maxOccurs="1"/>
        </xsd:sequence>
      </xsd:complexType>
    </xsd:element>
    <xsd:element name="ac5ab0db1224484c8ff3530d1a80034b" ma:index="16" nillable="true" ma:taxonomy="true" ma:internalName="ac5ab0db1224484c8ff3530d1a80034b" ma:taxonomyFieldName="Vertriebsart" ma:displayName="Vertriebsart" ma:default="" ma:fieldId="{ac5ab0db-1224-484c-8ff3-530d1a80034b}" ma:taxonomyMulti="true" ma:sspId="94e377b1-2aa4-4f20-8597-6b4aeb7ffd85" ma:termSetId="ea6310c1-e77d-4d76-a3c7-def63dad6ed5" ma:anchorId="00000000-0000-0000-0000-000000000000" ma:open="false" ma:isKeyword="false">
      <xsd:complexType>
        <xsd:sequence>
          <xsd:element ref="pc:Terms" minOccurs="0" maxOccurs="1"/>
        </xsd:sequence>
      </xsd:complexType>
    </xsd:element>
    <xsd:element name="Art" ma:index="24" nillable="true" ma:displayName="Dokumente" ma:format="Dropdown" ma:hidden="true" ma:internalName="Art" ma:readOnly="false">
      <xsd:simpleType>
        <xsd:union memberTypes="dms:Text">
          <xsd:simpleType>
            <xsd:restriction base="dms:Choice">
              <xsd:enumeration value="IDD-relevante Unterlagen"/>
              <xsd:enumeration value="Vertragsunterlagen"/>
              <xsd:enumeration value="Tarifinformationen"/>
              <xsd:enumeration value="Folder"/>
              <xsd:enumeration value="Formulare"/>
              <xsd:enumeration value="Bedingungen und Klauseln"/>
              <xsd:enumeration value="Arbeitsanleitungen"/>
              <xsd:enumeration value="Sonstige Produktguidelines"/>
            </xsd:restriction>
          </xsd:simpleType>
        </xsd:union>
      </xsd:simpleType>
    </xsd:element>
    <xsd:element name="g4f6d5280194439a8b6275c385c28389" ma:index="25" nillable="true" ma:taxonomy="true" ma:internalName="g4f6d5280194439a8b6275c385c28389" ma:taxonomyFieldName="Dok" ma:displayName="Dokumentenart" ma:default="" ma:fieldId="{04f6d528-0194-439a-8b62-75c385c28389}" ma:sspId="94e377b1-2aa4-4f20-8597-6b4aeb7ffd85" ma:termSetId="7911d3f0-81ce-4a93-8330-06c839191801"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9c9c27f-c0cf-4694-a49d-c73c10e5088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67bf931-c035-49bb-8721-3b8acd750e34}" ma:internalName="TaxCatchAll" ma:showField="CatchAllData" ma:web="69c9c27f-c0cf-4694-a49d-c73c10e50883">
      <xsd:complexType>
        <xsd:complexContent>
          <xsd:extension base="dms:MultiChoiceLookup">
            <xsd:sequence>
              <xsd:element name="Value" type="dms:Lookup" maxOccurs="unbounded" minOccurs="0" nillable="true"/>
            </xsd:sequence>
          </xsd:extension>
        </xsd:complexContent>
      </xsd:complexType>
    </xsd:element>
    <xsd:element name="TaxKeywordTaxHTField" ma:index="22" nillable="true" ma:taxonomy="true" ma:internalName="TaxKeywordTaxHTField" ma:taxonomyFieldName="TaxKeyword" ma:displayName="Unternehmensstichwörter" ma:fieldId="{23f27201-bee3-471e-b2e7-b64fd8b7ca38}" ma:taxonomyMulti="true" ma:sspId="94e377b1-2aa4-4f20-8597-6b4aeb7ffd85"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E99E5E-6632-4B24-967D-241176C54599}">
  <ds:schemaRefs>
    <ds:schemaRef ds:uri="http://schemas.microsoft.com/office/2006/metadata/properties"/>
    <ds:schemaRef ds:uri="http://schemas.microsoft.com/office/infopath/2007/PartnerControls"/>
    <ds:schemaRef ds:uri="http://schemas.microsoft.com/sharepoint/v3"/>
    <ds:schemaRef ds:uri="69c9c27f-c0cf-4694-a49d-c73c10e50883"/>
    <ds:schemaRef ds:uri="4c63a5e7-cad9-4745-878d-f755f9a94c25"/>
  </ds:schemaRefs>
</ds:datastoreItem>
</file>

<file path=customXml/itemProps2.xml><?xml version="1.0" encoding="utf-8"?>
<ds:datastoreItem xmlns:ds="http://schemas.openxmlformats.org/officeDocument/2006/customXml" ds:itemID="{99E800C8-36FD-44EF-AE12-0E0C5FFC294B}">
  <ds:schemaRefs>
    <ds:schemaRef ds:uri="http://schemas.microsoft.com/sharepoint/v3/contenttype/forms"/>
  </ds:schemaRefs>
</ds:datastoreItem>
</file>

<file path=customXml/itemProps3.xml><?xml version="1.0" encoding="utf-8"?>
<ds:datastoreItem xmlns:ds="http://schemas.openxmlformats.org/officeDocument/2006/customXml" ds:itemID="{0074CE3D-BC0E-46BC-B0C7-D92967AB6E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c63a5e7-cad9-4745-878d-f755f9a94c25"/>
    <ds:schemaRef ds:uri="69c9c27f-c0cf-4694-a49d-c73c10e508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Blitztarif Basis + Optional (2)</vt:lpstr>
      <vt:lpstr>Blitztarif Basis + Optional</vt:lpstr>
      <vt:lpstr>Tarif</vt:lpstr>
      <vt:lpstr>'Blitztarif Basis + Optional (2)'!Druckbereich</vt:lpstr>
    </vt:vector>
  </TitlesOfParts>
  <Company>Munich Re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Blitztarif WST (final).xlsx</dc:title>
  <dc:creator>Frettloehr Oliver - Munich-MR</dc:creator>
  <cp:lastModifiedBy>Pridun Christoph, Mag., Inhouse Media</cp:lastModifiedBy>
  <cp:lastPrinted>2021-11-26T09:09:26Z</cp:lastPrinted>
  <dcterms:created xsi:type="dcterms:W3CDTF">2017-04-25T08:19:45Z</dcterms:created>
  <dcterms:modified xsi:type="dcterms:W3CDTF">2022-07-21T11:15:56Z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0x01010089D6B3FCE05D284C99D669161EC92C92</vt:lpwstr>
  </property>
  <property fmtid="{D5CDD505-2E9C-101B-9397-08002B2CF9AE}" pid="3" name="TaxKeyword">
    <vt:lpwstr/>
  </property>
  <property fmtid="{D5CDD505-2E9C-101B-9397-08002B2CF9AE}" pid="4" name="c9863a07a6e8436e860b2867612edb35">
    <vt:lpwstr>English|27afc8c5-a6fe-491b-a753-733650f34ba2</vt:lpwstr>
  </property>
  <property fmtid="{D5CDD505-2E9C-101B-9397-08002B2CF9AE}" pid="5" name="essentials_Confidentiality">
    <vt:lpwstr>1;#MR Group Internal|2fb8bb20-c906-4f86-bc68-ed58066a8af3</vt:lpwstr>
  </property>
  <property fmtid="{D5CDD505-2E9C-101B-9397-08002B2CF9AE}" pid="6" name="essentials_Integrity">
    <vt:lpwstr>4;#Less significant|0add0edb-2bb9-4d9f-a115-ddb6d12046d5</vt:lpwstr>
  </property>
  <property fmtid="{D5CDD505-2E9C-101B-9397-08002B2CF9AE}" pid="7" name="essentials_Availability">
    <vt:lpwstr>3;#Non-vital|f3362186-e95f-4855-bae4-812d89aef0f6</vt:lpwstr>
  </property>
  <property fmtid="{D5CDD505-2E9C-101B-9397-08002B2CF9AE}" pid="8" name="essentials_Language">
    <vt:lpwstr>2;#English|27afc8c5-a6fe-491b-a753-733650f34ba2</vt:lpwstr>
  </property>
  <property fmtid="{D5CDD505-2E9C-101B-9397-08002B2CF9AE}" pid="9" name="nb55a5b702614ac0ba92daa584d34640">
    <vt:lpwstr>Draft|e8189ae2-7862-4646-810e-d6e48aab8e92</vt:lpwstr>
  </property>
  <property fmtid="{D5CDD505-2E9C-101B-9397-08002B2CF9AE}" pid="10" name="ccollab_DocumentStatus">
    <vt:lpwstr>5;#Draft|e8189ae2-7862-4646-810e-d6e48aab8e92</vt:lpwstr>
  </property>
  <property fmtid="{D5CDD505-2E9C-101B-9397-08002B2CF9AE}" pid="11" name="_dlc_DocIdItemGuid">
    <vt:lpwstr>69528c7b-9f55-4cd3-90f5-caf0ae373156</vt:lpwstr>
  </property>
  <property fmtid="{D5CDD505-2E9C-101B-9397-08002B2CF9AE}" pid="12" name="Passend für Produkt">
    <vt:lpwstr>63;#Unternehmen|f07752a8-2016-49f3-b713-8b80711fe113;#216;#EPU und KMU|c86f7fac-1bd2-4dcc-83b7-10f69fb27091;#215;#Cyber Protect|9df68c22-a816-4ca4-8f59-5ac6009acdef</vt:lpwstr>
  </property>
  <property fmtid="{D5CDD505-2E9C-101B-9397-08002B2CF9AE}" pid="13" name="Bedarfswelt">
    <vt:lpwstr>153;#Betrieb ＆ Absicherung|8dc302e5-1b83-47d1-bafb-d7a98ecb1e76</vt:lpwstr>
  </property>
  <property fmtid="{D5CDD505-2E9C-101B-9397-08002B2CF9AE}" pid="14" name="Vertriebsweg">
    <vt:lpwstr/>
  </property>
  <property fmtid="{D5CDD505-2E9C-101B-9397-08002B2CF9AE}" pid="15" name="Bereich">
    <vt:lpwstr>167;#Technik ＆ IT|625a586d-a001-49bb-a2e1-90f009a1bc15</vt:lpwstr>
  </property>
  <property fmtid="{D5CDD505-2E9C-101B-9397-08002B2CF9AE}" pid="16" name="Produkt">
    <vt:lpwstr>168;#Cyber Protect|e1527133-7e7c-4f29-be51-80f8cbd77612</vt:lpwstr>
  </property>
  <property fmtid="{D5CDD505-2E9C-101B-9397-08002B2CF9AE}" pid="17" name="Dokumentenart">
    <vt:lpwstr/>
  </property>
  <property fmtid="{D5CDD505-2E9C-101B-9397-08002B2CF9AE}" pid="18" name="Vertriebsart">
    <vt:lpwstr>101;#Firma|167be959-8630-49e9-b1ed-5a677193fb7f</vt:lpwstr>
  </property>
  <property fmtid="{D5CDD505-2E9C-101B-9397-08002B2CF9AE}" pid="19" name="Art">
    <vt:lpwstr>Sonstige Produktguidelines</vt:lpwstr>
  </property>
  <property fmtid="{D5CDD505-2E9C-101B-9397-08002B2CF9AE}" pid="20" name="Dok">
    <vt:lpwstr>247;#Sonstige Produktguidelines|76069887-5129-4d44-909e-2894d560f0d4</vt:lpwstr>
  </property>
</Properties>
</file>