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C:\Users\SchwetzF\Downloads\"/>
    </mc:Choice>
  </mc:AlternateContent>
  <xr:revisionPtr revIDLastSave="0" documentId="13_ncr:1_{67C525A4-1257-4D5E-A87B-9D1B359D4E1C}" xr6:coauthVersionLast="47" xr6:coauthVersionMax="47" xr10:uidLastSave="{00000000-0000-0000-0000-000000000000}"/>
  <workbookProtection workbookAlgorithmName="SHA-512" workbookHashValue="kOnvZDQirnkAjIPFxSl/RP6GFUDm7Xd3m2SWtuGd0G3PpYoSY/V5roLDpArv1RIc2pA+TPXbx2s7HMTJ6Y3rzA==" workbookSaltValue="3B/5D/zSEYQDd3b6uT/SMg==" workbookSpinCount="100000" lockStructure="1"/>
  <bookViews>
    <workbookView xWindow="-108" yWindow="-108" windowWidth="23256" windowHeight="12576" xr2:uid="{00000000-000D-0000-FFFF-FFFF00000000}"/>
  </bookViews>
  <sheets>
    <sheet name="Eingabe" sheetId="8" r:id="rId1"/>
    <sheet name="Berechnung BW" sheetId="1" r:id="rId2"/>
    <sheet name="Angebot BW" sheetId="15" r:id="rId3"/>
    <sheet name="Annahmeerklärung DSGVO" sheetId="11" r:id="rId4"/>
    <sheet name="Settings" sheetId="9" state="hidden" r:id="rId5"/>
    <sheet name="Polizzierungsanleitung" sheetId="10" state="hidden" r:id="rId6"/>
  </sheets>
  <externalReferences>
    <externalReference r:id="rId7"/>
    <externalReference r:id="rId8"/>
    <externalReference r:id="rId9"/>
  </externalReferences>
  <definedNames>
    <definedName name="Antragsdatum">[1]Eingabe!$B$58</definedName>
    <definedName name="Baubeginn">[1]Eingabe!$B$55</definedName>
    <definedName name="Bauende">[1]Eingabe!$B$56</definedName>
    <definedName name="Baumassnahme">[1]Eingabe!$B$27</definedName>
    <definedName name="Buero.AdresseOrt" localSheetId="2">'[2]CCA-Daten'!$B$39</definedName>
    <definedName name="Buero.AdresseOrt">'[3]CCA-Daten'!$B$39</definedName>
    <definedName name="Buero.AdressePLZ" localSheetId="2">'[2]CCA-Daten'!$B$38</definedName>
    <definedName name="Buero.AdressePLZ">'[3]CCA-Daten'!$B$38</definedName>
    <definedName name="Buero.AdresseStrasse" localSheetId="2">'[2]CCA-Daten'!$B$40</definedName>
    <definedName name="Buero.AdresseStrasse">'[3]CCA-Daten'!$B$40</definedName>
    <definedName name="Buero.Maklergruppe" localSheetId="2">'[2]CCA-Daten'!$B$37</definedName>
    <definedName name="Buero.Maklergruppe">'[3]CCA-Daten'!$B$37</definedName>
    <definedName name="_xlnm.Print_Area" localSheetId="2">'Angebot BW'!$A$1:$H$353</definedName>
    <definedName name="_xlnm.Print_Area" localSheetId="1">'Berechnung BW'!$A$1:$G$33</definedName>
    <definedName name="_xlnm.Print_Area" localSheetId="0">Eingabe!$A$1:$G$42</definedName>
    <definedName name="KBE_B">[1]Eingabe!$F$32</definedName>
    <definedName name="NachlassRohbaudeckung" localSheetId="2">'[2]Angebot BW'!$G$26</definedName>
    <definedName name="NachlassRohbaudeckung">'[3]Angebot BW'!$G$26</definedName>
    <definedName name="Objekttyp">[1]Eingabe!#REF!</definedName>
    <definedName name="Person.LPO" localSheetId="2">'[2]CCA-Daten'!$B$12</definedName>
    <definedName name="Person.LPO">'[3]CCA-Daten'!$B$12</definedName>
    <definedName name="Person.Name1" localSheetId="2">'[2]CCA-Daten'!$B$4</definedName>
    <definedName name="Person.Name1">'[3]CCA-Daten'!$B$4</definedName>
    <definedName name="Person.Name2" localSheetId="2">'[2]CCA-Daten'!$B$5</definedName>
    <definedName name="Person.Name2">'[3]CCA-Daten'!$B$5</definedName>
    <definedName name="Person.Strasse" localSheetId="2">'[2]CCA-Daten'!$B$11</definedName>
    <definedName name="Person.Strasse">'[3]CCA-Daten'!$B$11</definedName>
    <definedName name="Person.TitelAkademisch" localSheetId="2">'[2]CCA-Daten'!$B$6</definedName>
    <definedName name="Person.TitelAkademisch">'[3]CCA-Daten'!$B$6</definedName>
    <definedName name="Prämiensatz" localSheetId="2">'[2]Angebot BW'!$G$23</definedName>
    <definedName name="Prämiensatz">'[3]Angebot BW'!$G$23</definedName>
    <definedName name="Projekt_klein_B">[1]Eingabe!$F$33</definedName>
    <definedName name="Risikoadresse">[1]Eingabe!$B$20</definedName>
    <definedName name="Risikoort">[1]Eingabe!$B$22</definedName>
    <definedName name="Risikoplz">[1]Eingabe!$B$21</definedName>
    <definedName name="SiG_B">[1]Eingabe!$F$38</definedName>
    <definedName name="SiGW_B">[1]Eingabe!$F$39</definedName>
    <definedName name="VN_Adresse">[1]Eingabe!$B$8</definedName>
    <definedName name="VN_Name">[1]Eingabe!$B$7</definedName>
    <definedName name="VN_Name_kurz">[1]Eingabe!$B$14</definedName>
    <definedName name="VN_Ort">[1]Eingabe!$B$10</definedName>
    <definedName name="VN_Plz">[1]Eingabe!$B$9</definedName>
    <definedName name="Witterungsniederschläge" localSheetId="2">'[2]Angebot BW'!$G$24</definedName>
    <definedName name="Witterungsniederschläge">'[3]Angebot BW'!$G$24</definedName>
    <definedName name="ZuschlagSonderbau" localSheetId="2">'[2]Angebot BW'!$G$25</definedName>
    <definedName name="ZuschlagSonderbau">'[3]Angebot BW'!$G$25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3" i="10" l="1"/>
  <c r="C44" i="10"/>
  <c r="A24" i="15" l="1"/>
  <c r="E26" i="9"/>
  <c r="E31" i="9"/>
  <c r="C53" i="10" s="1"/>
  <c r="H17" i="9"/>
  <c r="H16" i="9"/>
  <c r="H15" i="9"/>
  <c r="H14" i="9"/>
  <c r="H13" i="9"/>
  <c r="H12" i="9"/>
  <c r="D87" i="15"/>
  <c r="A83" i="15"/>
  <c r="G82" i="15" s="1"/>
  <c r="D90" i="15"/>
  <c r="D82" i="15"/>
  <c r="C9" i="15"/>
  <c r="C10" i="15"/>
  <c r="C11" i="15"/>
  <c r="E16" i="15"/>
  <c r="C3" i="15"/>
  <c r="B16" i="15"/>
  <c r="C13" i="15"/>
  <c r="A8" i="15"/>
  <c r="C5" i="15"/>
  <c r="C4" i="15"/>
  <c r="A48" i="15"/>
  <c r="A51" i="15"/>
  <c r="A52" i="15"/>
  <c r="A53" i="15"/>
  <c r="C73" i="10" l="1"/>
  <c r="C74" i="10" s="1"/>
  <c r="C30" i="10"/>
  <c r="C41" i="10" l="1"/>
  <c r="C6" i="10" l="1"/>
  <c r="C82" i="10" s="1"/>
  <c r="E27" i="9" l="1"/>
  <c r="C61" i="10" s="1"/>
  <c r="E30" i="9"/>
  <c r="E29" i="9"/>
  <c r="C63" i="10" l="1"/>
  <c r="C52" i="10"/>
  <c r="C70" i="10"/>
  <c r="C58" i="10"/>
  <c r="C62" i="10"/>
  <c r="E37" i="9"/>
  <c r="E36" i="9"/>
  <c r="E23" i="1"/>
  <c r="F21" i="1"/>
  <c r="F22" i="1"/>
  <c r="F27" i="1" l="1"/>
  <c r="G19" i="9"/>
  <c r="A1" i="8"/>
  <c r="A75" i="10" l="1"/>
  <c r="H19" i="9"/>
  <c r="C51" i="10" s="1"/>
  <c r="B82" i="10"/>
  <c r="D11" i="9"/>
  <c r="C55" i="10" l="1"/>
  <c r="C56" i="10" s="1"/>
  <c r="A81" i="10"/>
  <c r="A57" i="10"/>
  <c r="A56" i="10"/>
  <c r="C40" i="10"/>
  <c r="C38" i="10"/>
  <c r="C28" i="10"/>
  <c r="C75" i="10" s="1"/>
  <c r="C25" i="10"/>
  <c r="C17" i="10" l="1"/>
  <c r="C10" i="10"/>
  <c r="C11" i="10"/>
  <c r="C5" i="10"/>
  <c r="C3" i="10"/>
  <c r="C2" i="10"/>
  <c r="C14" i="10" l="1"/>
  <c r="B24" i="10"/>
  <c r="B37" i="10"/>
  <c r="C20" i="10"/>
  <c r="C22" i="10" s="1"/>
  <c r="C13" i="10"/>
  <c r="C28" i="1" l="1"/>
  <c r="C26" i="1"/>
  <c r="C25" i="1"/>
  <c r="F23" i="1" l="1"/>
  <c r="F24" i="1"/>
  <c r="F25" i="1"/>
  <c r="F26" i="1"/>
  <c r="F28" i="1"/>
  <c r="D19" i="1"/>
  <c r="E21" i="9"/>
  <c r="E22" i="9"/>
  <c r="E20" i="9"/>
  <c r="E14" i="9"/>
  <c r="E15" i="9"/>
  <c r="E16" i="9"/>
  <c r="E17" i="9"/>
  <c r="E18" i="9"/>
  <c r="E19" i="9"/>
  <c r="E13" i="9"/>
  <c r="C57" i="10" l="1"/>
  <c r="C57" i="15"/>
  <c r="D94" i="15" s="1"/>
  <c r="G94" i="15" s="1"/>
  <c r="D30" i="1"/>
  <c r="D74" i="15" s="1"/>
  <c r="D20" i="1"/>
  <c r="C58" i="15" s="1"/>
  <c r="F19" i="1"/>
  <c r="E8" i="9"/>
  <c r="C60" i="10" l="1"/>
  <c r="D31" i="1"/>
  <c r="C64" i="10" s="1"/>
  <c r="C59" i="10"/>
  <c r="E11" i="9"/>
  <c r="C42" i="10" l="1"/>
  <c r="E12" i="9"/>
  <c r="E10" i="9"/>
  <c r="E9" i="9"/>
  <c r="C15" i="10" s="1"/>
  <c r="B11" i="8"/>
  <c r="C24" i="8"/>
  <c r="E33" i="9" l="1"/>
  <c r="E34" i="9" s="1"/>
  <c r="F29" i="1" s="1"/>
  <c r="E5" i="9"/>
  <c r="E4" i="9"/>
  <c r="E7" i="9"/>
  <c r="E6" i="9"/>
  <c r="E3" i="9"/>
  <c r="E2" i="9"/>
  <c r="C32" i="9" l="1"/>
  <c r="F31" i="1" s="1"/>
  <c r="C66" i="10" s="1"/>
  <c r="C21" i="1"/>
  <c r="C22" i="1"/>
  <c r="D27" i="9"/>
  <c r="C24" i="1" s="1"/>
  <c r="F32" i="1" l="1"/>
  <c r="F33" i="1" s="1"/>
  <c r="C43" i="10"/>
  <c r="C78" i="10" s="1"/>
  <c r="G31" i="1"/>
  <c r="C32" i="10"/>
  <c r="C76" i="10"/>
  <c r="C68" i="10" l="1"/>
  <c r="D98" i="15"/>
  <c r="C31" i="10"/>
  <c r="C79" i="10"/>
</calcChain>
</file>

<file path=xl/sharedStrings.xml><?xml version="1.0" encoding="utf-8"?>
<sst xmlns="http://schemas.openxmlformats.org/spreadsheetml/2006/main" count="358" uniqueCount="308">
  <si>
    <t>Nein</t>
  </si>
  <si>
    <t>Zahlungsweise:</t>
  </si>
  <si>
    <t>O</t>
  </si>
  <si>
    <t>Versicherungsnehmer</t>
  </si>
  <si>
    <t>Versicherungsbeginn</t>
  </si>
  <si>
    <t>Versicherungsablauf</t>
  </si>
  <si>
    <t>Zahlschein</t>
  </si>
  <si>
    <t xml:space="preserve">Bauwesen-Versicherung </t>
  </si>
  <si>
    <t>Straße Nr.</t>
  </si>
  <si>
    <t>PLZ Ort</t>
  </si>
  <si>
    <t>Der VN ist</t>
  </si>
  <si>
    <t>Privatkunde</t>
  </si>
  <si>
    <t>Firmenkunde</t>
  </si>
  <si>
    <t>Kurze Baubeschreibung (z.B.: Neubau Geschäftsgebäude inkl. Tiefgarage)</t>
  </si>
  <si>
    <t>Neubau oder Umbau</t>
  </si>
  <si>
    <t>Bauherr</t>
  </si>
  <si>
    <t>Bauunternehmer</t>
  </si>
  <si>
    <t>Versicherungsort / Baustelle</t>
  </si>
  <si>
    <t>Versicherungsdauer:</t>
  </si>
  <si>
    <t>Baukosten</t>
  </si>
  <si>
    <t>Bauzeit Max</t>
  </si>
  <si>
    <t>Baukosten Max</t>
  </si>
  <si>
    <t>Vermittlernummer:</t>
  </si>
  <si>
    <t>Vermittlername:</t>
  </si>
  <si>
    <t>Baukosten:   Maximum</t>
  </si>
  <si>
    <t>Zahlungsweise</t>
  </si>
  <si>
    <t>bei Lastschift - IBAN</t>
  </si>
  <si>
    <t>Lastschrift</t>
  </si>
  <si>
    <t>Neubau &amp; grüne Wiese / freistehend</t>
  </si>
  <si>
    <t>Risikofragen zum Bauvorhaben</t>
  </si>
  <si>
    <t>Besteht eine Rohbauversicherung für die Sparten Feuer und Sturm?</t>
  </si>
  <si>
    <t>Befindet sich das Risiko in einer HQ30-Zone nach HORA?</t>
  </si>
  <si>
    <t>Befindet sich das Risiko in einer gelben oder roten Zone nach dem Gefahrenzonenplan der Wildbach- und Lawinenverbauung?</t>
  </si>
  <si>
    <t>Frage1</t>
  </si>
  <si>
    <t>Frage2</t>
  </si>
  <si>
    <t>Frage3</t>
  </si>
  <si>
    <t>Frage4</t>
  </si>
  <si>
    <t>Frage5</t>
  </si>
  <si>
    <t>Frage6</t>
  </si>
  <si>
    <t>Frage7</t>
  </si>
  <si>
    <t>Hangsicherungsmaßnahmen vorhanden?</t>
  </si>
  <si>
    <t>Gibt es eine weiße, braune oder schwarze Wanne?</t>
  </si>
  <si>
    <t>Baugrubenumschließungen in Form von Schlitzwänden, Berliner Verbau, Düsenstrahlverfahren (Jet Grouting) u.dgl.?</t>
  </si>
  <si>
    <t>Spezial- bzw. Tiefgründungen wie Pfahl-, Brunnen-, Senkkasten (Caissons)-, Gefrier- Druckluftgründungen, chem. Bodenverfestigungen u.dgl.?</t>
  </si>
  <si>
    <t>Versicherungssummen und Prämie</t>
  </si>
  <si>
    <t>Leistungen des Auftraggebers 
(falls nicht in den Baukosten enthalten)</t>
  </si>
  <si>
    <t>Baracken Bauwagen
(falls nicht in den Baukosten enthalten)</t>
  </si>
  <si>
    <t>Bestehende Altbauten</t>
  </si>
  <si>
    <t>Witterungsschäden am Altbestand</t>
  </si>
  <si>
    <t>Sachen im Gefahrenbereich</t>
  </si>
  <si>
    <t>Optische Schäden</t>
  </si>
  <si>
    <t>Änderung der Bauweise</t>
  </si>
  <si>
    <t>Mindestprämie</t>
  </si>
  <si>
    <t>Kaufmännische Betriebseinrichtung
wenn Mitversicherung gewünscht</t>
  </si>
  <si>
    <t>Maxima</t>
  </si>
  <si>
    <t>Kaufmännische BE</t>
  </si>
  <si>
    <t>sonstige Summen auf Erstes Risiko</t>
  </si>
  <si>
    <t>Versicherungssteuer</t>
  </si>
  <si>
    <t>Gesamtprämie brutto</t>
  </si>
  <si>
    <t>Baracken etc.</t>
  </si>
  <si>
    <t>Leistungen des AG</t>
  </si>
  <si>
    <t>großes Projekt</t>
  </si>
  <si>
    <t>kleines Projekt</t>
  </si>
  <si>
    <t>Weitere mitversicherte Unternehmen / Personen:
(wenn gewünscht)
Anmerkung: Baufirmen und Bauhandwerker brauchen nicht angeführt werden</t>
  </si>
  <si>
    <t>HOST Eintrag</t>
  </si>
  <si>
    <t>PE01</t>
  </si>
  <si>
    <t>Versicherungsnehmer:</t>
  </si>
  <si>
    <t>VN Adresse:</t>
  </si>
  <si>
    <t xml:space="preserve">Fremde Führung: </t>
  </si>
  <si>
    <t>N</t>
  </si>
  <si>
    <t>Bündelart/Sparte:</t>
  </si>
  <si>
    <t>PA11</t>
  </si>
  <si>
    <t>Gültig:</t>
  </si>
  <si>
    <t>Landesdir.</t>
  </si>
  <si>
    <t>Dokument:</t>
  </si>
  <si>
    <t>J</t>
  </si>
  <si>
    <t>Dok.Empfänger Original:</t>
  </si>
  <si>
    <t xml:space="preserve">                          Kopie:</t>
  </si>
  <si>
    <t>Inkassoart:</t>
  </si>
  <si>
    <t>Bankverbindg:</t>
  </si>
  <si>
    <t>Autom.Verläng:</t>
  </si>
  <si>
    <t>Kundenart:</t>
  </si>
  <si>
    <t>Vorläufige Deckung:</t>
  </si>
  <si>
    <t>Mitarb:</t>
  </si>
  <si>
    <t>Posteingang:</t>
  </si>
  <si>
    <t>PA12 Haftpflicht</t>
  </si>
  <si>
    <t xml:space="preserve">Ablauf: </t>
  </si>
  <si>
    <t>StatistikNr.</t>
  </si>
  <si>
    <t>00150</t>
  </si>
  <si>
    <t>RAneu: (wenn ungelch VN Adresse -&gt; J)</t>
  </si>
  <si>
    <t>J oder N</t>
  </si>
  <si>
    <t>Verm.Nr</t>
  </si>
  <si>
    <t>Eintrag Landesdir.</t>
  </si>
  <si>
    <t>Risikoadresse:</t>
  </si>
  <si>
    <t>1</t>
  </si>
  <si>
    <t>W</t>
  </si>
  <si>
    <t>Risiko:</t>
  </si>
  <si>
    <t>*B*</t>
  </si>
  <si>
    <t>2</t>
  </si>
  <si>
    <t>Pau:</t>
  </si>
  <si>
    <t>3</t>
  </si>
  <si>
    <t>B</t>
  </si>
  <si>
    <t>Formel:   &gt;&gt;öffnen</t>
  </si>
  <si>
    <t>4</t>
  </si>
  <si>
    <t>G</t>
  </si>
  <si>
    <t>JNTO:</t>
  </si>
  <si>
    <t>5</t>
  </si>
  <si>
    <t>K</t>
  </si>
  <si>
    <t>Bes.Bed.:</t>
  </si>
  <si>
    <t>6</t>
  </si>
  <si>
    <t>Bed:</t>
  </si>
  <si>
    <t>7</t>
  </si>
  <si>
    <t>S</t>
  </si>
  <si>
    <t>Tarif:</t>
  </si>
  <si>
    <t>8</t>
  </si>
  <si>
    <t>T</t>
  </si>
  <si>
    <t>9</t>
  </si>
  <si>
    <t>V</t>
  </si>
  <si>
    <t>PA12 Bauwesen</t>
  </si>
  <si>
    <t>Vers.Summe:</t>
  </si>
  <si>
    <t>PA09</t>
  </si>
  <si>
    <t>alles unter der Zeile &gt;&gt;AALLLETZT löschen und das hineinkopieren:</t>
  </si>
  <si>
    <t>H_____Version 0700 (ganz unten)</t>
  </si>
  <si>
    <t>BW</t>
  </si>
  <si>
    <t>BDL_____Version BDL Sonstige (ganz oben)</t>
  </si>
  <si>
    <t>X- Bausteine mit F9/F1 auflösen</t>
  </si>
  <si>
    <t>Bauwesen- Variable:</t>
  </si>
  <si>
    <t>XXXXXVersich_Risiko</t>
  </si>
  <si>
    <t>XXXXXBaukostenXXXXX</t>
  </si>
  <si>
    <t>XXXXXVorsoXXXXX</t>
  </si>
  <si>
    <t>XXXXXGesamtVSXXXXX</t>
  </si>
  <si>
    <t>XXXXXPrä_nettoXXXXX</t>
  </si>
  <si>
    <t>XXXXXPrä_bruttoXXXXX</t>
  </si>
  <si>
    <t>Haftpflicht- Variable:</t>
  </si>
  <si>
    <t>XXXXXPräHPXXXXX</t>
  </si>
  <si>
    <t>In der Polizze dürfen jetzt keine "XXX" mehr vorkommen!</t>
  </si>
  <si>
    <t>PA31 (wenn nicht automatisch generiert)</t>
  </si>
  <si>
    <t>Ganze Zeile:</t>
  </si>
  <si>
    <t>BW und HP</t>
  </si>
  <si>
    <t>ZI</t>
  </si>
  <si>
    <t>BI</t>
  </si>
  <si>
    <t>Vorsorgeversicherung</t>
  </si>
  <si>
    <t>Vorsorge</t>
  </si>
  <si>
    <t>&lt;- Öffnen der Annahmeerklärung DSGVO durch Doppelklick auf das Objekt links!</t>
  </si>
  <si>
    <t>Lückenverbau und Dachgeschossausbau / Sockelsanierung</t>
  </si>
  <si>
    <t>oder KG Nummer u Name / GrundstNr.</t>
  </si>
  <si>
    <t>Bauwesen- Versicherung</t>
  </si>
  <si>
    <t>Beantragt wird:</t>
  </si>
  <si>
    <t>Bauherrnhaftpflicht- Versicherung</t>
  </si>
  <si>
    <t>Zusätzlich bitte diese Excel- Datei übermitteln.</t>
  </si>
  <si>
    <t>Beizulegende Unterlagen:</t>
  </si>
  <si>
    <t>- technische Baubeschreibung</t>
  </si>
  <si>
    <t>SIG Witterungseinf</t>
  </si>
  <si>
    <t>nicht gewählt</t>
  </si>
  <si>
    <t>gewählt</t>
  </si>
  <si>
    <t>Deckungserweiterung SIG inkl "Witterungseinflüsse"</t>
  </si>
  <si>
    <t>Selbstbehalt</t>
  </si>
  <si>
    <t>- geotechnisches / hydrologisches Bodengutachten (wenn eines erstellt wurde)</t>
  </si>
  <si>
    <t xml:space="preserve">          XXXXX    </t>
  </si>
  <si>
    <t>XXX10 kaufm BEXXX10</t>
  </si>
  <si>
    <t>XXXXXER_SXXXXX</t>
  </si>
  <si>
    <t>XXXXXALTBAUXXXXX</t>
  </si>
  <si>
    <t>XXXXSIGXXXXX</t>
  </si>
  <si>
    <t>XXXXXBAUWEISXXXXX</t>
  </si>
  <si>
    <t>XXX14 kaufm BE2XXX14</t>
  </si>
  <si>
    <r>
      <t>5x Bild</t>
    </r>
    <r>
      <rPr>
        <sz val="10"/>
        <rFont val="Wingdings"/>
        <charset val="2"/>
      </rPr>
      <t xml:space="preserve">â </t>
    </r>
    <r>
      <rPr>
        <sz val="10"/>
        <rFont val="Arial"/>
        <family val="2"/>
      </rPr>
      <t>drücken</t>
    </r>
  </si>
  <si>
    <t>Bauwesen- und Bauherrnhaftpflicht- Versicherung</t>
  </si>
  <si>
    <t>XXXXXRisiko_BVXXXXX</t>
  </si>
  <si>
    <t>7110 0082 0159</t>
  </si>
  <si>
    <t>XXXXXVersich_BV</t>
  </si>
  <si>
    <t xml:space="preserve">                                XXXXX</t>
  </si>
  <si>
    <t>WKOG</t>
  </si>
  <si>
    <t>Angrenzend an ein anderes Objekt und Erweiterung / Umbau</t>
  </si>
  <si>
    <t>WKO Fachverband für Immobilientreuhänder</t>
  </si>
  <si>
    <t>Gemäß der Rahmenvereinbarung</t>
  </si>
  <si>
    <t>Zur Beantragung, das unterschriebene Angebot und die unterschriebenen Annahmeerklärung bei der Zürich Versicherungs AG einreichen.</t>
  </si>
  <si>
    <t>über den Abschluss des Versicherungsvertrages dem Versicherer innerhalb der Bindungsfrist zugeht.</t>
  </si>
  <si>
    <t>Der Versicherungsvertrag kommt zu Stande, wenn das Anbot samt der unterfertigten Annahmeerklärung</t>
  </si>
  <si>
    <t xml:space="preserve">Der Versicherer ist sechs Wochen ab dem Datum der Angebotserstellung an sein Angebot gebunden. </t>
  </si>
  <si>
    <t>Unterschrift:</t>
  </si>
  <si>
    <t>Ort, Datum:</t>
  </si>
  <si>
    <t>Annahme des Angebotes:</t>
  </si>
  <si>
    <t>• Schwund, der erst bei der Bestandskontrolle entdeckt wird</t>
  </si>
  <si>
    <t>• Veruntreuung, Unterschlagung, Sachentzug, unbefugter Gebrauch, Raub, Erpressung, Betrug, Untreue</t>
  </si>
  <si>
    <t>• Kriegerische oder terroristische Handlungen</t>
  </si>
  <si>
    <t>• Verstöße gegen gesetzliche oder behördliche Vorschriften</t>
  </si>
  <si>
    <t xml:space="preserve">• Verstöße gegen die anerkannten Regeln der Technik </t>
  </si>
  <si>
    <t xml:space="preserve">  ACHTUNG: unvermeidbare Schäden am Bau sind den Baukosten zuzurechnen und in diese einzukalkulieren</t>
  </si>
  <si>
    <t>• Unvermeidbare Schäden (technisch unvermeidbar oder nur mit unwirtschaftlich hohem Aufwand vermeidbar)</t>
  </si>
  <si>
    <t xml:space="preserve">  handelt</t>
  </si>
  <si>
    <t xml:space="preserve">  zu rechnen ist (ausgenommen nicht vermeidbare Folgeschäden nach ersatzpflichtigem Schaden innerhalb 72h)</t>
  </si>
  <si>
    <t xml:space="preserve">• Schäden durch normale Witterungseinflüsse, mit denen aufgrund der Jahreszeit und der örtlichen Verhältnisse </t>
  </si>
  <si>
    <t>• Schäden, die bei Abschluss der Versicherung bereits vorhanden waren</t>
  </si>
  <si>
    <t>• Reine Mangelbehebung an den versicherten Sachen</t>
  </si>
  <si>
    <t>• Schäden, deren Ursachen vor Versicherungsbeginn liegen</t>
  </si>
  <si>
    <t>Unter anderem sind folgende Schäden NICHT MITVERSICHERT:</t>
  </si>
  <si>
    <t xml:space="preserve">  oder unter Bauwerken / Gebäuden befindlich.</t>
  </si>
  <si>
    <t xml:space="preserve">• Erdwärmesonden und zugehörige Tiefenbohrungen mit einer Bohrtiefe größer als 5 Meter </t>
  </si>
  <si>
    <t>• Schäden an Pfahlgründungen und Baugrubenwänden</t>
  </si>
  <si>
    <t>• Fahrzeuge/Baufahrzeuge aller Art</t>
  </si>
  <si>
    <t xml:space="preserve">  lagen und Pflanzungen nachweislich im Auftragswert mitversichert waren; exkl. Anwachs-/Gedeihrisiko)</t>
  </si>
  <si>
    <t>• Gartenanlagen und Pflanzungen (ausgenommen als Folge eines ersatzpflichtigen Schadens, soweit Gartenan-</t>
  </si>
  <si>
    <t>• Elektrische, elektronische, maschinelle, optische und sonstige technische Einrichtungen</t>
  </si>
  <si>
    <t>Unter anderem sind Schäden an folgenden Sachen  NICHT MITVERSICHERT:</t>
  </si>
  <si>
    <t>Brand, Explosion, Diebstahl, Raub, Vandalismus</t>
  </si>
  <si>
    <t>Sofortige Meldepflicht an die Polizei bei:</t>
  </si>
  <si>
    <t>nachträgliche Änderungen am Bauvorhaben (Erhöhung der Baukostensumme, Änderung des Bauzeitplanes)</t>
  </si>
  <si>
    <t>Eintritt des Schadenfalles - Unterbrechung der Bauarbeiten (ausgenommen Wochenende, Feiertage) -</t>
  </si>
  <si>
    <t>Sofortige Meldepflichten an den Versicherer bei:</t>
  </si>
  <si>
    <t>Grunde liegenden Versicherungsbedingungen und mit ZÜRICH vereinbarten Deckungsinhalte!</t>
  </si>
  <si>
    <t>Alle angeführten Deckungen gelten ausschließlich im Rahmen des genauen Wortlautes der zu</t>
  </si>
  <si>
    <t>Die oben angeführten Deckungen werden zur zahlreiche zusätzliche Vertragsklauseln ergänzt und erweitert.</t>
  </si>
  <si>
    <t>Projektprämie inkl. Vers.steuer:</t>
  </si>
  <si>
    <t>Gefahrenteilung</t>
  </si>
  <si>
    <t>gemäß Aufstellung oben</t>
  </si>
  <si>
    <t>mitversichert</t>
  </si>
  <si>
    <t>von ÖNORM B2110 abweichende</t>
  </si>
  <si>
    <t>(Ganz-/Teileinsturz)</t>
  </si>
  <si>
    <t>Altbestand (keine Nachbargebäude)</t>
  </si>
  <si>
    <t>Schäden am um- und/oder anzubauenden</t>
  </si>
  <si>
    <t>Zusätzlich bei Umbauten (wenn vereinbart):</t>
  </si>
  <si>
    <t>nach Schadenfall</t>
  </si>
  <si>
    <t>Mehrkosten durch Änderung der Bauweise</t>
  </si>
  <si>
    <t>Einbruchdiebstahl, Diebstahl</t>
  </si>
  <si>
    <t>absturz</t>
  </si>
  <si>
    <t>Brand, Blitzschlag, Explosion, Flugzeug-</t>
  </si>
  <si>
    <t>für alle Positionen zusammen</t>
  </si>
  <si>
    <t>Erdbeben, Eruption</t>
  </si>
  <si>
    <t>Grundwasser</t>
  </si>
  <si>
    <t xml:space="preserve">Hochwasser, Überschwemmung, </t>
  </si>
  <si>
    <t>3 Monate</t>
  </si>
  <si>
    <t>Unterbrechung der Bauarbeiten</t>
  </si>
  <si>
    <t>Verlängerung der Versicherungsdauer</t>
  </si>
  <si>
    <t>Maintenance</t>
  </si>
  <si>
    <t>für 36 Monate</t>
  </si>
  <si>
    <t>Extended Maintenance inklusive Visits</t>
  </si>
  <si>
    <t>Deckungsumfang:</t>
  </si>
  <si>
    <t>Zusatzdeckungen:</t>
  </si>
  <si>
    <t>Selbstbehalt generell:</t>
  </si>
  <si>
    <t>Vorsorge-Summe:</t>
  </si>
  <si>
    <t>Versicherungssumme:</t>
  </si>
  <si>
    <t>Deckungsumfang und Prämie</t>
  </si>
  <si>
    <t xml:space="preserve">   bzw. Teilleistungen durch den Bauherren oder wenn diese gemäß ÖNORM A 2060 Z.2.22 übernommen gelten)</t>
  </si>
  <si>
    <t xml:space="preserve">  (ist keine Gesamtübernahme vorgesehen, endet der Versicherungsschutz nach Übernahme der Bauleistungen</t>
  </si>
  <si>
    <t>Der Versicherungsschutz endet:</t>
  </si>
  <si>
    <r>
      <t xml:space="preserve">Unvorhergesehene Schäden </t>
    </r>
    <r>
      <rPr>
        <b/>
        <u/>
        <sz val="10"/>
        <rFont val="Arial"/>
        <family val="2"/>
      </rPr>
      <t>als Folge eines Mangels</t>
    </r>
    <r>
      <rPr>
        <b/>
        <sz val="10"/>
        <rFont val="Arial"/>
        <family val="2"/>
      </rPr>
      <t xml:space="preserve"> sind versichert</t>
    </r>
    <r>
      <rPr>
        <sz val="10"/>
        <rFont val="Arial"/>
        <family val="2"/>
      </rPr>
      <t xml:space="preserve">, unter Abzug der Kosten, die zu- </t>
    </r>
  </si>
  <si>
    <t>erbracht, so stellt das keinen versicherten Sachschaden dar!</t>
  </si>
  <si>
    <t xml:space="preserve">Verwendung ungeeigneter/mangelhafter Konstruktionsteile von vornherein mangelhaft bzw. nicht ordnungsgemäß </t>
  </si>
  <si>
    <t xml:space="preserve">infolge mangelhafter Konzeption, Planung, Erzeugung, Herstellung, Lieferung, Bearbeitung oder infolge </t>
  </si>
  <si>
    <r>
      <t>Nicht versichert</t>
    </r>
    <r>
      <rPr>
        <sz val="10"/>
        <rFont val="Arial"/>
        <family val="2"/>
      </rPr>
      <t xml:space="preserve"> sind jedenfalls </t>
    </r>
    <r>
      <rPr>
        <b/>
        <sz val="10"/>
        <rFont val="Arial"/>
        <family val="2"/>
      </rPr>
      <t>reine Mängel an den versicherten Sachen</t>
    </r>
    <r>
      <rPr>
        <sz val="10"/>
        <rFont val="Arial"/>
        <family val="2"/>
      </rPr>
      <t xml:space="preserve">. D.h. ist eine Bauleistung/Sache </t>
    </r>
  </si>
  <si>
    <r>
      <rPr>
        <b/>
        <sz val="10"/>
        <rFont val="Arial"/>
        <family val="2"/>
      </rPr>
      <t>Zerstörung oder Verlust</t>
    </r>
    <r>
      <rPr>
        <sz val="10"/>
        <rFont val="Arial"/>
        <family val="2"/>
      </rPr>
      <t xml:space="preserve"> der versicherten Bauleistungen (inkl. Konstruktionsteile, Materialien und Stoffen). </t>
    </r>
  </si>
  <si>
    <r>
      <t>Grundsätz</t>
    </r>
    <r>
      <rPr>
        <sz val="10"/>
        <rFont val="Arial"/>
        <family val="2"/>
      </rPr>
      <t xml:space="preserve">lich besteht Versicherungsschutz für </t>
    </r>
    <r>
      <rPr>
        <b/>
        <sz val="10"/>
        <rFont val="Arial"/>
        <family val="2"/>
      </rPr>
      <t xml:space="preserve">alle plötzlichen und </t>
    </r>
    <r>
      <rPr>
        <b/>
        <u/>
        <sz val="10"/>
        <rFont val="Arial"/>
        <family val="2"/>
      </rPr>
      <t>unvorhergesehenen</t>
    </r>
    <r>
      <rPr>
        <b/>
        <sz val="10"/>
        <rFont val="Arial"/>
        <family val="2"/>
      </rPr>
      <t xml:space="preserve"> Beschädigungen, </t>
    </r>
  </si>
  <si>
    <t>Versicherungsschutz:</t>
  </si>
  <si>
    <t>- Pläne (Lageplan), Grundriss, Schnitte)</t>
  </si>
  <si>
    <t>zusätzlich versicherte Personen (optional):</t>
  </si>
  <si>
    <t>nach Maßgabe des Artikel 3 der BW 2014</t>
  </si>
  <si>
    <t>Baugewerbes + sämtliche Bauhandwerker</t>
  </si>
  <si>
    <t>Bauherr (Auftraggeber) + sämtliche am Bauvorhaben beteiligten Unternehmen des</t>
  </si>
  <si>
    <t>versicherte Personen:</t>
  </si>
  <si>
    <t>bis</t>
  </si>
  <si>
    <t>von</t>
  </si>
  <si>
    <t>Baudauer:</t>
  </si>
  <si>
    <t xml:space="preserve">Baukosten: </t>
  </si>
  <si>
    <t>KG Nummer / GrundstNr.</t>
  </si>
  <si>
    <t>Versichertes Bauvorhaben</t>
  </si>
  <si>
    <t>Angebot Bauwesenversicherung</t>
  </si>
  <si>
    <t>EUR 1.500,00</t>
  </si>
  <si>
    <t>- ggf. Vollmacht</t>
  </si>
  <si>
    <t>- unterschriebene Annahmeerklärung</t>
  </si>
  <si>
    <t>sätzlich aufgewendet werden müssen, damit der Mangel nicht erneut entsteht.</t>
  </si>
  <si>
    <t>3 Monate prämienfrei</t>
  </si>
  <si>
    <t>Hilfsbauten, Hangsicherungen, Baugrubenumschließungen</t>
  </si>
  <si>
    <t>Bewegungs- und Schutzkosten</t>
  </si>
  <si>
    <t>Baugrund- und Bodenmassen</t>
  </si>
  <si>
    <t>Baracken, Bauwagen, Container</t>
  </si>
  <si>
    <t>zusätzliche Aufräumkosten</t>
  </si>
  <si>
    <t>Rüstungen, Schalungen, Stützen</t>
  </si>
  <si>
    <t>Mehrkosten für Arbeits- und Eilfrachtzuschläge</t>
  </si>
  <si>
    <t>Entsorgungskosten inkl. Erdreich</t>
  </si>
  <si>
    <t>Pläne, Dokumente</t>
  </si>
  <si>
    <t>5%, min. EUR 5.000,00*</t>
  </si>
  <si>
    <t>5%, min. EUR 25.000,00 -</t>
  </si>
  <si>
    <t>max. EUR 150.000,00</t>
  </si>
  <si>
    <t>• Einrichtungsgegenstände (Mobiliar) Ausnahme: Wenn kaufmännische Betriebseinrichtung mitversichert</t>
  </si>
  <si>
    <t xml:space="preserve">• Schäden durch Hochwasser oder Ansteigen des Grundwassers, wenn es sich nicht um min. ein HQ50-Ereignis </t>
  </si>
  <si>
    <t xml:space="preserve">• Kratzer an Glas-/Metall-/Kunststoffoberflächen sowie an Oberflächen vorgehängter Fassaden </t>
  </si>
  <si>
    <t xml:space="preserve">  Ausgenommen Bruchschäden</t>
  </si>
  <si>
    <t>EUR 2.500,00</t>
  </si>
  <si>
    <t>rein optische Schäden</t>
  </si>
  <si>
    <t xml:space="preserve">Baustellen in einer HQ30 Zone </t>
  </si>
  <si>
    <t>sind ausgenommen</t>
  </si>
  <si>
    <t xml:space="preserve">Deckungserweiterung für Risse am </t>
  </si>
  <si>
    <t>Altbestand</t>
  </si>
  <si>
    <t>max. EUR 200.000,00</t>
  </si>
  <si>
    <t>Schadensuchkosten (auch bei Nichtauffinden</t>
  </si>
  <si>
    <t>eines Schadens)</t>
  </si>
  <si>
    <t>- Pläne (Lageplan, Grundriss, Schnitte)</t>
  </si>
  <si>
    <t>A mit Altbauten</t>
  </si>
  <si>
    <t>S mit Sachen i GefBer</t>
  </si>
  <si>
    <t>W mit Witterungseinflüssen</t>
  </si>
  <si>
    <t>Deckungserweiterung "Optische Schäden"</t>
  </si>
  <si>
    <t>zusätzl</t>
  </si>
  <si>
    <t xml:space="preserve"> &gt;&gt;XBWWKOÄBW</t>
  </si>
  <si>
    <t xml:space="preserve"> &gt;&gt;XBWWKOOPT</t>
  </si>
  <si>
    <t>Aktueller Verm-1:</t>
  </si>
  <si>
    <t>Aktueller Verm-2:</t>
  </si>
  <si>
    <t>Produktion für:</t>
  </si>
  <si>
    <t>Vermittler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</si>
</sst>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_-[$€-2]\ * #,##0.00_-;\-[$€-2]\ * #,##0.00_-;_-[$€-2]\ * &quot;-&quot;??_-"/>
    <numFmt numFmtId="166" formatCode="&quot;€&quot;#,##0.00_);\(&quot;€&quot;#,##0.00\)"/>
    <numFmt numFmtId="167" formatCode="&quot;max. &quot;0&quot; Monate&quot;"/>
    <numFmt numFmtId="168" formatCode="&quot;EUR &quot;#,##0.00"/>
    <numFmt numFmtId="169" formatCode="0&quot; Mio.&quot;"/>
    <numFmt numFmtId="170" formatCode="000000\-0"/>
    <numFmt numFmtId="171" formatCode="_-* #,##0_-;\-* #,##0_-;_-* &quot;-&quot;??_-;_-@_-"/>
    <numFmt numFmtId="172" formatCode="0.00\ \‰"/>
    <numFmt numFmtId="173" formatCode="yyyymmdd"/>
    <numFmt numFmtId="174" formatCode="0_ ;\-0\ "/>
    <numFmt numFmtId="175" formatCode="0.00_ ;\-0.00\ "/>
    <numFmt numFmtId="176" formatCode="&quot;EUR&quot;\ #,##0.00"/>
    <numFmt numFmtId="177" formatCode="dd/mm/yyyy;@"/>
    <numFmt numFmtId="178" formatCode="[$EUR]\ #,##0.00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Wingdings"/>
      <charset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rgb="FFC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u/>
      <sz val="10"/>
      <name val="Arial"/>
      <family val="2"/>
    </font>
    <font>
      <sz val="10"/>
      <name val="Calibri"/>
      <family val="2"/>
    </font>
    <font>
      <sz val="10"/>
      <color theme="5"/>
      <name val="Arial"/>
      <family val="2"/>
    </font>
    <font>
      <b/>
      <sz val="10"/>
      <color rgb="FF4F81BD"/>
      <name val="Calibri"/>
      <family val="2"/>
    </font>
    <font>
      <b/>
      <u/>
      <sz val="14"/>
      <color rgb="FF4F81B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055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4" tint="-0.2499465926084170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 tint="-0.2499465926084170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83">
    <xf numFmtId="0" fontId="0" fillId="0" borderId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1" fillId="0" borderId="0"/>
    <xf numFmtId="0" fontId="10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9" fillId="0" borderId="0" applyFont="0" applyFill="0" applyBorder="0" applyAlignment="0" applyProtection="0"/>
    <xf numFmtId="0" fontId="3" fillId="0" borderId="0"/>
    <xf numFmtId="0" fontId="20" fillId="0" borderId="0"/>
    <xf numFmtId="165" fontId="9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277">
    <xf numFmtId="0" fontId="0" fillId="0" borderId="0" xfId="0"/>
    <xf numFmtId="0" fontId="12" fillId="0" borderId="0" xfId="0" applyFont="1" applyProtection="1"/>
    <xf numFmtId="0" fontId="13" fillId="0" borderId="0" xfId="0" applyFont="1" applyProtection="1"/>
    <xf numFmtId="0" fontId="18" fillId="0" borderId="0" xfId="0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center"/>
    </xf>
    <xf numFmtId="0" fontId="0" fillId="0" borderId="0" xfId="0"/>
    <xf numFmtId="0" fontId="0" fillId="0" borderId="0" xfId="0" applyAlignment="1"/>
    <xf numFmtId="0" fontId="12" fillId="0" borderId="0" xfId="0" applyFont="1"/>
    <xf numFmtId="0" fontId="21" fillId="0" borderId="0" xfId="0" applyFont="1"/>
    <xf numFmtId="0" fontId="22" fillId="2" borderId="4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/>
    </xf>
    <xf numFmtId="166" fontId="24" fillId="0" borderId="0" xfId="0" applyNumberFormat="1" applyFont="1"/>
    <xf numFmtId="0" fontId="0" fillId="0" borderId="0" xfId="0"/>
    <xf numFmtId="0" fontId="22" fillId="2" borderId="12" xfId="0" applyFont="1" applyFill="1" applyBorder="1" applyAlignment="1" applyProtection="1">
      <alignment horizontal="left"/>
    </xf>
    <xf numFmtId="0" fontId="0" fillId="0" borderId="0" xfId="0"/>
    <xf numFmtId="0" fontId="22" fillId="2" borderId="28" xfId="0" applyFont="1" applyFill="1" applyBorder="1" applyAlignment="1" applyProtection="1"/>
    <xf numFmtId="167" fontId="22" fillId="2" borderId="11" xfId="0" applyNumberFormat="1" applyFont="1" applyFill="1" applyBorder="1" applyAlignment="1" applyProtection="1">
      <alignment horizontal="left" vertical="center" wrapText="1"/>
    </xf>
    <xf numFmtId="43" fontId="12" fillId="0" borderId="0" xfId="580" applyFont="1"/>
    <xf numFmtId="169" fontId="22" fillId="2" borderId="29" xfId="0" applyNumberFormat="1" applyFont="1" applyFill="1" applyBorder="1" applyAlignment="1" applyProtection="1">
      <alignment horizontal="left"/>
    </xf>
    <xf numFmtId="0" fontId="22" fillId="2" borderId="30" xfId="0" applyFont="1" applyFill="1" applyBorder="1" applyAlignment="1" applyProtection="1"/>
    <xf numFmtId="171" fontId="12" fillId="0" borderId="0" xfId="580" applyNumberFormat="1" applyFont="1"/>
    <xf numFmtId="166" fontId="14" fillId="0" borderId="0" xfId="0" applyNumberFormat="1" applyFont="1" applyFill="1" applyBorder="1" applyAlignment="1">
      <alignment horizontal="right" vertical="center"/>
    </xf>
    <xf numFmtId="0" fontId="22" fillId="2" borderId="32" xfId="0" applyFont="1" applyFill="1" applyBorder="1" applyAlignment="1" applyProtection="1">
      <alignment horizontal="left"/>
    </xf>
    <xf numFmtId="0" fontId="22" fillId="2" borderId="33" xfId="0" applyFont="1" applyFill="1" applyBorder="1" applyAlignment="1" applyProtection="1">
      <alignment horizontal="left"/>
    </xf>
    <xf numFmtId="0" fontId="22" fillId="2" borderId="23" xfId="0" applyFont="1" applyFill="1" applyBorder="1" applyAlignment="1" applyProtection="1">
      <alignment horizontal="left"/>
    </xf>
    <xf numFmtId="0" fontId="22" fillId="2" borderId="34" xfId="0" applyFont="1" applyFill="1" applyBorder="1" applyAlignment="1" applyProtection="1">
      <alignment horizontal="left"/>
    </xf>
    <xf numFmtId="0" fontId="22" fillId="2" borderId="35" xfId="0" applyFont="1" applyFill="1" applyBorder="1" applyAlignment="1" applyProtection="1">
      <alignment horizontal="left"/>
    </xf>
    <xf numFmtId="0" fontId="22" fillId="2" borderId="36" xfId="0" applyFont="1" applyFill="1" applyBorder="1" applyAlignment="1" applyProtection="1">
      <alignment horizontal="left"/>
    </xf>
    <xf numFmtId="0" fontId="22" fillId="2" borderId="37" xfId="0" applyFont="1" applyFill="1" applyBorder="1" applyAlignment="1" applyProtection="1">
      <alignment horizontal="left"/>
    </xf>
    <xf numFmtId="0" fontId="22" fillId="2" borderId="38" xfId="0" applyFont="1" applyFill="1" applyBorder="1" applyAlignment="1" applyProtection="1">
      <alignment horizontal="left"/>
    </xf>
    <xf numFmtId="0" fontId="22" fillId="2" borderId="39" xfId="0" applyFont="1" applyFill="1" applyBorder="1" applyAlignment="1" applyProtection="1">
      <alignment horizontal="left"/>
    </xf>
    <xf numFmtId="0" fontId="22" fillId="2" borderId="40" xfId="0" applyFont="1" applyFill="1" applyBorder="1" applyAlignment="1" applyProtection="1">
      <alignment horizontal="left"/>
    </xf>
    <xf numFmtId="168" fontId="16" fillId="0" borderId="31" xfId="0" applyNumberFormat="1" applyFont="1" applyFill="1" applyBorder="1" applyAlignment="1">
      <alignment horizontal="right" vertical="center"/>
    </xf>
    <xf numFmtId="168" fontId="22" fillId="2" borderId="31" xfId="0" applyNumberFormat="1" applyFont="1" applyFill="1" applyBorder="1" applyAlignment="1">
      <alignment horizontal="right" vertical="center"/>
    </xf>
    <xf numFmtId="172" fontId="22" fillId="2" borderId="31" xfId="0" applyNumberFormat="1" applyFont="1" applyFill="1" applyBorder="1" applyAlignment="1">
      <alignment horizontal="right" vertical="center"/>
    </xf>
    <xf numFmtId="168" fontId="15" fillId="2" borderId="31" xfId="0" applyNumberFormat="1" applyFont="1" applyFill="1" applyBorder="1" applyAlignment="1">
      <alignment horizontal="right" vertical="center"/>
    </xf>
    <xf numFmtId="0" fontId="22" fillId="2" borderId="12" xfId="0" applyFont="1" applyFill="1" applyBorder="1" applyAlignment="1" applyProtection="1">
      <alignment horizontal="left" wrapText="1"/>
    </xf>
    <xf numFmtId="0" fontId="27" fillId="2" borderId="0" xfId="0" applyFont="1" applyFill="1" applyAlignment="1">
      <alignment horizontal="center" vertical="center"/>
    </xf>
    <xf numFmtId="9" fontId="22" fillId="2" borderId="31" xfId="579" applyFont="1" applyFill="1" applyBorder="1" applyAlignment="1">
      <alignment horizontal="right" vertical="center"/>
    </xf>
    <xf numFmtId="0" fontId="28" fillId="2" borderId="0" xfId="0" applyFont="1" applyFill="1" applyAlignment="1">
      <alignment horizontal="center" vertical="center"/>
    </xf>
    <xf numFmtId="43" fontId="12" fillId="0" borderId="0" xfId="0" applyNumberFormat="1" applyFont="1"/>
    <xf numFmtId="0" fontId="22" fillId="2" borderId="12" xfId="0" applyFont="1" applyFill="1" applyBorder="1" applyAlignment="1" applyProtection="1">
      <alignment horizontal="left"/>
    </xf>
    <xf numFmtId="0" fontId="0" fillId="0" borderId="0" xfId="0"/>
    <xf numFmtId="0" fontId="29" fillId="3" borderId="3" xfId="581" applyFont="1" applyFill="1" applyBorder="1" applyProtection="1"/>
    <xf numFmtId="0" fontId="9" fillId="3" borderId="3" xfId="581" applyFill="1" applyBorder="1" applyProtection="1"/>
    <xf numFmtId="0" fontId="9" fillId="3" borderId="3" xfId="581" applyFont="1" applyFill="1" applyBorder="1" applyProtection="1"/>
    <xf numFmtId="0" fontId="9" fillId="3" borderId="0" xfId="581" applyFont="1" applyFill="1" applyBorder="1" applyProtection="1"/>
    <xf numFmtId="0" fontId="9" fillId="0" borderId="0" xfId="581" applyProtection="1"/>
    <xf numFmtId="0" fontId="9" fillId="0" borderId="0" xfId="581"/>
    <xf numFmtId="0" fontId="9" fillId="3" borderId="0" xfId="581" applyFont="1" applyFill="1" applyBorder="1" applyAlignment="1" applyProtection="1">
      <alignment horizontal="left"/>
    </xf>
    <xf numFmtId="0" fontId="9" fillId="3" borderId="0" xfId="581" applyFill="1" applyBorder="1" applyProtection="1"/>
    <xf numFmtId="0" fontId="9" fillId="0" borderId="0" xfId="581" applyFont="1" applyAlignment="1" applyProtection="1">
      <alignment wrapText="1"/>
    </xf>
    <xf numFmtId="0" fontId="9" fillId="0" borderId="0" xfId="581" applyFill="1" applyProtection="1"/>
    <xf numFmtId="0" fontId="9" fillId="0" borderId="0" xfId="581" applyFill="1" applyAlignment="1" applyProtection="1">
      <alignment vertical="center"/>
    </xf>
    <xf numFmtId="173" fontId="9" fillId="3" borderId="0" xfId="581" applyNumberFormat="1" applyFont="1" applyFill="1" applyBorder="1" applyProtection="1"/>
    <xf numFmtId="0" fontId="9" fillId="0" borderId="0" xfId="581" applyFont="1" applyFill="1" applyProtection="1"/>
    <xf numFmtId="0" fontId="9" fillId="3" borderId="2" xfId="581" applyFill="1" applyBorder="1" applyProtection="1"/>
    <xf numFmtId="0" fontId="30" fillId="3" borderId="2" xfId="581" applyFont="1" applyFill="1" applyBorder="1"/>
    <xf numFmtId="0" fontId="9" fillId="3" borderId="2" xfId="581" applyFill="1" applyBorder="1"/>
    <xf numFmtId="0" fontId="9" fillId="3" borderId="0" xfId="581" applyFill="1"/>
    <xf numFmtId="0" fontId="9" fillId="3" borderId="0" xfId="581" quotePrefix="1" applyFill="1"/>
    <xf numFmtId="0" fontId="9" fillId="3" borderId="0" xfId="581" applyNumberFormat="1" applyFont="1" applyFill="1" applyBorder="1" applyAlignment="1" applyProtection="1">
      <alignment horizontal="left"/>
    </xf>
    <xf numFmtId="0" fontId="9" fillId="0" borderId="0" xfId="581" applyFont="1" applyBorder="1" applyProtection="1"/>
    <xf numFmtId="49" fontId="9" fillId="0" borderId="0" xfId="581" quotePrefix="1" applyNumberFormat="1" applyFont="1" applyBorder="1" applyAlignment="1" applyProtection="1">
      <alignment horizontal="center"/>
    </xf>
    <xf numFmtId="0" fontId="9" fillId="0" borderId="0" xfId="581" applyFont="1" applyBorder="1" applyAlignment="1" applyProtection="1">
      <alignment horizontal="center"/>
    </xf>
    <xf numFmtId="174" fontId="9" fillId="3" borderId="0" xfId="582" applyNumberFormat="1" applyFont="1" applyFill="1" applyBorder="1" applyProtection="1"/>
    <xf numFmtId="0" fontId="9" fillId="3" borderId="0" xfId="581" applyFill="1" applyAlignment="1">
      <alignment horizontal="right"/>
    </xf>
    <xf numFmtId="175" fontId="9" fillId="3" borderId="0" xfId="582" applyNumberFormat="1" applyFont="1" applyFill="1" applyBorder="1" applyProtection="1"/>
    <xf numFmtId="0" fontId="9" fillId="3" borderId="0" xfId="581" quotePrefix="1" applyFont="1" applyFill="1" applyBorder="1" applyProtection="1"/>
    <xf numFmtId="0" fontId="9" fillId="3" borderId="0" xfId="581" quotePrefix="1" applyFont="1" applyFill="1" applyBorder="1" applyAlignment="1" applyProtection="1">
      <alignment horizontal="left"/>
    </xf>
    <xf numFmtId="0" fontId="9" fillId="0" borderId="0" xfId="581" applyFont="1" applyAlignment="1" applyProtection="1">
      <alignment horizontal="center"/>
    </xf>
    <xf numFmtId="0" fontId="9" fillId="0" borderId="0" xfId="581" applyFont="1" applyProtection="1"/>
    <xf numFmtId="49" fontId="9" fillId="0" borderId="0" xfId="581" quotePrefix="1" applyNumberFormat="1" applyFont="1" applyBorder="1" applyAlignment="1" applyProtection="1">
      <alignment horizontal="left"/>
    </xf>
    <xf numFmtId="0" fontId="9" fillId="3" borderId="44" xfId="581" applyFill="1" applyBorder="1"/>
    <xf numFmtId="0" fontId="9" fillId="3" borderId="0" xfId="581" applyFill="1" applyBorder="1"/>
    <xf numFmtId="173" fontId="9" fillId="3" borderId="45" xfId="581" applyNumberFormat="1" applyFont="1" applyFill="1" applyBorder="1" applyProtection="1"/>
    <xf numFmtId="0" fontId="9" fillId="3" borderId="45" xfId="581" applyFill="1" applyBorder="1"/>
    <xf numFmtId="0" fontId="9" fillId="3" borderId="46" xfId="581" applyFill="1" applyBorder="1"/>
    <xf numFmtId="0" fontId="9" fillId="3" borderId="0" xfId="581" applyFont="1" applyFill="1" applyAlignment="1" applyProtection="1">
      <alignment horizontal="right"/>
    </xf>
    <xf numFmtId="0" fontId="9" fillId="3" borderId="0" xfId="581" applyFill="1" applyProtection="1"/>
    <xf numFmtId="0" fontId="9" fillId="3" borderId="0" xfId="581" applyFont="1" applyFill="1" applyProtection="1"/>
    <xf numFmtId="0" fontId="31" fillId="3" borderId="0" xfId="581" applyFont="1" applyFill="1" applyProtection="1"/>
    <xf numFmtId="176" fontId="9" fillId="3" borderId="0" xfId="581" applyNumberFormat="1" applyFont="1" applyFill="1" applyProtection="1"/>
    <xf numFmtId="176" fontId="9" fillId="3" borderId="0" xfId="581" applyNumberFormat="1" applyFont="1" applyFill="1" applyBorder="1" applyProtection="1"/>
    <xf numFmtId="176" fontId="9" fillId="3" borderId="46" xfId="581" applyNumberFormat="1" applyFont="1" applyFill="1" applyBorder="1" applyProtection="1"/>
    <xf numFmtId="176" fontId="9" fillId="3" borderId="44" xfId="581" applyNumberFormat="1" applyFont="1" applyFill="1" applyBorder="1" applyProtection="1"/>
    <xf numFmtId="0" fontId="9" fillId="3" borderId="2" xfId="581" applyFont="1" applyFill="1" applyBorder="1" applyProtection="1"/>
    <xf numFmtId="0" fontId="9" fillId="3" borderId="0" xfId="581" applyFont="1" applyFill="1" applyBorder="1" applyAlignment="1" applyProtection="1">
      <alignment wrapText="1"/>
    </xf>
    <xf numFmtId="0" fontId="31" fillId="0" borderId="0" xfId="43" applyFont="1"/>
    <xf numFmtId="0" fontId="9" fillId="0" borderId="0" xfId="43"/>
    <xf numFmtId="177" fontId="12" fillId="0" borderId="0" xfId="0" applyNumberFormat="1" applyFont="1"/>
    <xf numFmtId="0" fontId="22" fillId="2" borderId="12" xfId="0" applyFont="1" applyFill="1" applyBorder="1" applyAlignment="1" applyProtection="1">
      <alignment horizontal="left"/>
    </xf>
    <xf numFmtId="0" fontId="0" fillId="0" borderId="0" xfId="0"/>
    <xf numFmtId="168" fontId="16" fillId="2" borderId="31" xfId="0" applyNumberFormat="1" applyFont="1" applyFill="1" applyBorder="1" applyAlignment="1">
      <alignment horizontal="right" vertical="center"/>
    </xf>
    <xf numFmtId="176" fontId="9" fillId="3" borderId="45" xfId="581" applyNumberFormat="1" applyFont="1" applyFill="1" applyBorder="1" applyProtection="1"/>
    <xf numFmtId="0" fontId="9" fillId="0" borderId="0" xfId="0" applyFont="1" applyProtection="1"/>
    <xf numFmtId="0" fontId="34" fillId="0" borderId="0" xfId="43" applyFont="1"/>
    <xf numFmtId="0" fontId="16" fillId="0" borderId="41" xfId="0" applyFont="1" applyBorder="1" applyAlignment="1" applyProtection="1">
      <alignment horizontal="center" vertical="center"/>
      <protection locked="0"/>
    </xf>
    <xf numFmtId="0" fontId="16" fillId="0" borderId="43" xfId="0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center" vertical="center"/>
      <protection locked="0"/>
    </xf>
    <xf numFmtId="168" fontId="16" fillId="0" borderId="31" xfId="0" applyNumberFormat="1" applyFont="1" applyFill="1" applyBorder="1" applyAlignment="1" applyProtection="1">
      <alignment horizontal="right" vertical="center"/>
      <protection locked="0"/>
    </xf>
    <xf numFmtId="0" fontId="16" fillId="0" borderId="12" xfId="0" applyFont="1" applyFill="1" applyBorder="1" applyAlignment="1" applyProtection="1">
      <alignment horizontal="left"/>
      <protection locked="0"/>
    </xf>
    <xf numFmtId="0" fontId="21" fillId="0" borderId="0" xfId="0" applyFont="1" applyProtection="1"/>
    <xf numFmtId="0" fontId="0" fillId="0" borderId="0" xfId="0" applyAlignment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7" fillId="0" borderId="0" xfId="0" applyFont="1" applyProtection="1"/>
    <xf numFmtId="0" fontId="17" fillId="0" borderId="0" xfId="0" applyFont="1" applyAlignment="1" applyProtection="1">
      <alignment horizontal="left"/>
    </xf>
    <xf numFmtId="0" fontId="32" fillId="0" borderId="0" xfId="0" applyFont="1" applyProtection="1"/>
    <xf numFmtId="0" fontId="12" fillId="0" borderId="0" xfId="0" quotePrefix="1" applyFont="1" applyProtection="1"/>
    <xf numFmtId="0" fontId="31" fillId="3" borderId="0" xfId="581" applyFont="1" applyFill="1"/>
    <xf numFmtId="0" fontId="35" fillId="0" borderId="0" xfId="43" applyFont="1"/>
    <xf numFmtId="0" fontId="9" fillId="0" borderId="1" xfId="43" applyBorder="1"/>
    <xf numFmtId="0" fontId="29" fillId="0" borderId="0" xfId="43" applyFont="1"/>
    <xf numFmtId="0" fontId="36" fillId="0" borderId="0" xfId="43" applyFont="1"/>
    <xf numFmtId="0" fontId="9" fillId="0" borderId="50" xfId="43" applyBorder="1"/>
    <xf numFmtId="0" fontId="9" fillId="0" borderId="3" xfId="43" applyBorder="1"/>
    <xf numFmtId="0" fontId="36" fillId="0" borderId="49" xfId="43" applyFont="1" applyBorder="1"/>
    <xf numFmtId="0" fontId="9" fillId="0" borderId="48" xfId="43" applyBorder="1"/>
    <xf numFmtId="0" fontId="9" fillId="0" borderId="2" xfId="43" applyBorder="1"/>
    <xf numFmtId="0" fontId="36" fillId="0" borderId="47" xfId="43" applyFont="1" applyBorder="1"/>
    <xf numFmtId="0" fontId="37" fillId="4" borderId="53" xfId="43" applyFont="1" applyFill="1" applyBorder="1"/>
    <xf numFmtId="0" fontId="37" fillId="4" borderId="5" xfId="43" applyFont="1" applyFill="1" applyBorder="1"/>
    <xf numFmtId="0" fontId="37" fillId="4" borderId="4" xfId="43" applyFont="1" applyFill="1" applyBorder="1"/>
    <xf numFmtId="0" fontId="9" fillId="0" borderId="49" xfId="43" applyBorder="1"/>
    <xf numFmtId="0" fontId="9" fillId="0" borderId="47" xfId="43" applyBorder="1"/>
    <xf numFmtId="0" fontId="9" fillId="0" borderId="51" xfId="43" applyBorder="1"/>
    <xf numFmtId="0" fontId="9" fillId="0" borderId="54" xfId="43" applyBorder="1"/>
    <xf numFmtId="178" fontId="9" fillId="0" borderId="54" xfId="43" applyNumberFormat="1" applyBorder="1"/>
    <xf numFmtId="0" fontId="9" fillId="0" borderId="55" xfId="43" applyBorder="1"/>
    <xf numFmtId="0" fontId="9" fillId="0" borderId="56" xfId="43" applyBorder="1"/>
    <xf numFmtId="0" fontId="9" fillId="0" borderId="57" xfId="43" applyBorder="1"/>
    <xf numFmtId="0" fontId="27" fillId="4" borderId="0" xfId="43" applyFont="1" applyFill="1"/>
    <xf numFmtId="169" fontId="27" fillId="2" borderId="59" xfId="43" applyNumberFormat="1" applyFont="1" applyFill="1" applyBorder="1" applyAlignment="1">
      <alignment horizontal="left"/>
    </xf>
    <xf numFmtId="0" fontId="27" fillId="2" borderId="60" xfId="43" applyFont="1" applyFill="1" applyBorder="1"/>
    <xf numFmtId="0" fontId="23" fillId="2" borderId="6" xfId="43" applyFont="1" applyFill="1" applyBorder="1" applyAlignment="1">
      <alignment horizontal="center" vertical="center"/>
    </xf>
    <xf numFmtId="0" fontId="23" fillId="2" borderId="5" xfId="43" applyFont="1" applyFill="1" applyBorder="1" applyAlignment="1">
      <alignment horizontal="center" vertical="center"/>
    </xf>
    <xf numFmtId="0" fontId="38" fillId="2" borderId="4" xfId="43" applyFont="1" applyFill="1" applyBorder="1" applyAlignment="1">
      <alignment horizontal="left" vertical="center"/>
    </xf>
    <xf numFmtId="0" fontId="9" fillId="0" borderId="0" xfId="43" applyAlignment="1">
      <alignment vertical="center"/>
    </xf>
    <xf numFmtId="0" fontId="34" fillId="0" borderId="0" xfId="43" applyFont="1" applyAlignment="1">
      <alignment vertical="center"/>
    </xf>
    <xf numFmtId="0" fontId="40" fillId="0" borderId="0" xfId="43" applyFont="1" applyAlignment="1">
      <alignment vertical="center"/>
    </xf>
    <xf numFmtId="0" fontId="41" fillId="0" borderId="0" xfId="43" applyFont="1"/>
    <xf numFmtId="0" fontId="42" fillId="0" borderId="0" xfId="43" applyFont="1" applyAlignment="1">
      <alignment vertical="center"/>
    </xf>
    <xf numFmtId="0" fontId="43" fillId="0" borderId="0" xfId="43" applyFont="1" applyAlignment="1">
      <alignment vertical="center"/>
    </xf>
    <xf numFmtId="0" fontId="12" fillId="0" borderId="0" xfId="43" quotePrefix="1" applyFont="1"/>
    <xf numFmtId="0" fontId="12" fillId="0" borderId="0" xfId="43" applyFont="1"/>
    <xf numFmtId="0" fontId="32" fillId="0" borderId="0" xfId="43" applyFont="1"/>
    <xf numFmtId="0" fontId="27" fillId="4" borderId="54" xfId="43" applyFont="1" applyFill="1" applyBorder="1"/>
    <xf numFmtId="0" fontId="9" fillId="3" borderId="50" xfId="43" applyFill="1" applyBorder="1"/>
    <xf numFmtId="0" fontId="9" fillId="3" borderId="3" xfId="43" applyFill="1" applyBorder="1"/>
    <xf numFmtId="0" fontId="9" fillId="3" borderId="49" xfId="43" applyFill="1" applyBorder="1"/>
    <xf numFmtId="0" fontId="9" fillId="3" borderId="51" xfId="43" applyFill="1" applyBorder="1"/>
    <xf numFmtId="0" fontId="9" fillId="3" borderId="0" xfId="43" applyFill="1"/>
    <xf numFmtId="0" fontId="9" fillId="3" borderId="54" xfId="43" applyFill="1" applyBorder="1"/>
    <xf numFmtId="0" fontId="9" fillId="3" borderId="48" xfId="43" applyFill="1" applyBorder="1"/>
    <xf numFmtId="0" fontId="9" fillId="3" borderId="2" xfId="43" applyFill="1" applyBorder="1"/>
    <xf numFmtId="0" fontId="9" fillId="3" borderId="47" xfId="43" applyFill="1" applyBorder="1"/>
    <xf numFmtId="0" fontId="27" fillId="2" borderId="4" xfId="43" applyFont="1" applyFill="1" applyBorder="1" applyAlignment="1">
      <alignment horizontal="center" vertical="center"/>
    </xf>
    <xf numFmtId="0" fontId="27" fillId="2" borderId="28" xfId="43" applyFont="1" applyFill="1" applyBorder="1"/>
    <xf numFmtId="169" fontId="27" fillId="2" borderId="29" xfId="43" applyNumberFormat="1" applyFont="1" applyFill="1" applyBorder="1" applyAlignment="1">
      <alignment horizontal="left"/>
    </xf>
    <xf numFmtId="0" fontId="27" fillId="2" borderId="30" xfId="43" applyFont="1" applyFill="1" applyBorder="1"/>
    <xf numFmtId="0" fontId="9" fillId="0" borderId="47" xfId="43" applyFill="1" applyBorder="1"/>
    <xf numFmtId="0" fontId="9" fillId="0" borderId="0" xfId="43" applyBorder="1"/>
    <xf numFmtId="0" fontId="22" fillId="2" borderId="25" xfId="0" applyFont="1" applyFill="1" applyBorder="1" applyAlignment="1" applyProtection="1">
      <alignment horizontal="left"/>
    </xf>
    <xf numFmtId="0" fontId="22" fillId="2" borderId="27" xfId="0" applyFont="1" applyFill="1" applyBorder="1" applyAlignment="1" applyProtection="1">
      <alignment horizontal="left"/>
    </xf>
    <xf numFmtId="0" fontId="22" fillId="2" borderId="26" xfId="0" applyFont="1" applyFill="1" applyBorder="1" applyAlignment="1" applyProtection="1">
      <alignment horizontal="left"/>
    </xf>
    <xf numFmtId="0" fontId="16" fillId="3" borderId="24" xfId="0" applyFont="1" applyFill="1" applyBorder="1" applyAlignment="1" applyProtection="1">
      <alignment horizontal="center" wrapText="1"/>
      <protection locked="0"/>
    </xf>
    <xf numFmtId="0" fontId="16" fillId="3" borderId="5" xfId="0" applyFont="1" applyFill="1" applyBorder="1" applyAlignment="1" applyProtection="1">
      <alignment horizontal="center" wrapText="1"/>
      <protection locked="0"/>
    </xf>
    <xf numFmtId="0" fontId="16" fillId="3" borderId="6" xfId="0" applyFont="1" applyFill="1" applyBorder="1" applyAlignment="1" applyProtection="1">
      <alignment horizontal="center" wrapText="1"/>
      <protection locked="0"/>
    </xf>
    <xf numFmtId="0" fontId="22" fillId="2" borderId="15" xfId="0" applyFont="1" applyFill="1" applyBorder="1" applyAlignment="1" applyProtection="1">
      <alignment horizontal="left"/>
    </xf>
    <xf numFmtId="0" fontId="22" fillId="2" borderId="16" xfId="0" applyFont="1" applyFill="1" applyBorder="1" applyAlignment="1" applyProtection="1">
      <alignment horizontal="left"/>
    </xf>
    <xf numFmtId="0" fontId="16" fillId="3" borderId="17" xfId="0" applyFont="1" applyFill="1" applyBorder="1" applyAlignment="1" applyProtection="1">
      <alignment horizontal="center"/>
      <protection locked="0"/>
    </xf>
    <xf numFmtId="0" fontId="16" fillId="3" borderId="7" xfId="0" applyFont="1" applyFill="1" applyBorder="1" applyAlignment="1" applyProtection="1">
      <alignment horizontal="center"/>
      <protection locked="0"/>
    </xf>
    <xf numFmtId="0" fontId="16" fillId="3" borderId="8" xfId="0" applyFont="1" applyFill="1" applyBorder="1" applyAlignment="1" applyProtection="1">
      <alignment horizontal="center"/>
      <protection locked="0"/>
    </xf>
    <xf numFmtId="0" fontId="22" fillId="2" borderId="25" xfId="0" applyFont="1" applyFill="1" applyBorder="1" applyAlignment="1" applyProtection="1">
      <alignment horizontal="left" wrapText="1"/>
    </xf>
    <xf numFmtId="0" fontId="22" fillId="2" borderId="27" xfId="0" applyFont="1" applyFill="1" applyBorder="1" applyAlignment="1" applyProtection="1">
      <alignment horizontal="left" wrapText="1"/>
    </xf>
    <xf numFmtId="0" fontId="16" fillId="3" borderId="4" xfId="0" applyFont="1" applyFill="1" applyBorder="1" applyAlignment="1" applyProtection="1">
      <alignment horizontal="left" vertical="top"/>
      <protection locked="0"/>
    </xf>
    <xf numFmtId="0" fontId="16" fillId="3" borderId="5" xfId="0" applyFont="1" applyFill="1" applyBorder="1" applyAlignment="1" applyProtection="1">
      <alignment horizontal="left" vertical="top"/>
      <protection locked="0"/>
    </xf>
    <xf numFmtId="0" fontId="16" fillId="3" borderId="6" xfId="0" applyFont="1" applyFill="1" applyBorder="1" applyAlignment="1" applyProtection="1">
      <alignment horizontal="left" vertical="top"/>
      <protection locked="0"/>
    </xf>
    <xf numFmtId="0" fontId="16" fillId="3" borderId="17" xfId="0" applyFont="1" applyFill="1" applyBorder="1" applyAlignment="1" applyProtection="1">
      <alignment horizontal="left"/>
      <protection locked="0"/>
    </xf>
    <xf numFmtId="0" fontId="16" fillId="3" borderId="7" xfId="0" applyFont="1" applyFill="1" applyBorder="1" applyAlignment="1" applyProtection="1">
      <alignment horizontal="left"/>
      <protection locked="0"/>
    </xf>
    <xf numFmtId="0" fontId="16" fillId="3" borderId="8" xfId="0" applyFont="1" applyFill="1" applyBorder="1" applyAlignment="1" applyProtection="1">
      <alignment horizontal="left"/>
      <protection locked="0"/>
    </xf>
    <xf numFmtId="0" fontId="22" fillId="2" borderId="18" xfId="0" applyFont="1" applyFill="1" applyBorder="1" applyAlignment="1" applyProtection="1">
      <alignment horizontal="left"/>
    </xf>
    <xf numFmtId="0" fontId="22" fillId="2" borderId="12" xfId="0" applyFont="1" applyFill="1" applyBorder="1" applyAlignment="1" applyProtection="1">
      <alignment horizontal="left"/>
    </xf>
    <xf numFmtId="0" fontId="22" fillId="2" borderId="20" xfId="0" applyFont="1" applyFill="1" applyBorder="1" applyAlignment="1" applyProtection="1">
      <alignment horizontal="left"/>
    </xf>
    <xf numFmtId="0" fontId="22" fillId="2" borderId="21" xfId="0" applyFont="1" applyFill="1" applyBorder="1" applyAlignment="1" applyProtection="1">
      <alignment horizontal="left"/>
    </xf>
    <xf numFmtId="0" fontId="16" fillId="3" borderId="13" xfId="0" applyFont="1" applyFill="1" applyBorder="1" applyAlignment="1" applyProtection="1">
      <alignment horizontal="left"/>
      <protection locked="0"/>
    </xf>
    <xf numFmtId="0" fontId="16" fillId="3" borderId="14" xfId="0" applyFont="1" applyFill="1" applyBorder="1" applyAlignment="1" applyProtection="1">
      <alignment horizontal="left"/>
      <protection locked="0"/>
    </xf>
    <xf numFmtId="0" fontId="16" fillId="3" borderId="19" xfId="0" applyFont="1" applyFill="1" applyBorder="1" applyAlignment="1" applyProtection="1">
      <alignment horizontal="left"/>
      <protection locked="0"/>
    </xf>
    <xf numFmtId="0" fontId="16" fillId="3" borderId="22" xfId="0" applyFont="1" applyFill="1" applyBorder="1" applyAlignment="1" applyProtection="1">
      <alignment horizontal="left"/>
      <protection locked="0"/>
    </xf>
    <xf numFmtId="0" fontId="16" fillId="3" borderId="9" xfId="0" applyFont="1" applyFill="1" applyBorder="1" applyAlignment="1" applyProtection="1">
      <alignment horizontal="left"/>
      <protection locked="0"/>
    </xf>
    <xf numFmtId="0" fontId="16" fillId="3" borderId="10" xfId="0" applyFont="1" applyFill="1" applyBorder="1" applyAlignment="1" applyProtection="1">
      <alignment horizontal="left"/>
      <protection locked="0"/>
    </xf>
    <xf numFmtId="14" fontId="16" fillId="3" borderId="24" xfId="0" applyNumberFormat="1" applyFont="1" applyFill="1" applyBorder="1" applyAlignment="1" applyProtection="1">
      <alignment horizontal="center"/>
      <protection locked="0"/>
    </xf>
    <xf numFmtId="14" fontId="16" fillId="3" borderId="6" xfId="0" applyNumberFormat="1" applyFont="1" applyFill="1" applyBorder="1" applyAlignment="1" applyProtection="1">
      <alignment horizontal="center"/>
      <protection locked="0"/>
    </xf>
    <xf numFmtId="14" fontId="16" fillId="3" borderId="5" xfId="0" applyNumberFormat="1" applyFont="1" applyFill="1" applyBorder="1" applyAlignment="1" applyProtection="1">
      <alignment horizontal="center"/>
      <protection locked="0"/>
    </xf>
    <xf numFmtId="0" fontId="16" fillId="3" borderId="22" xfId="0" applyFont="1" applyFill="1" applyBorder="1" applyAlignment="1" applyProtection="1">
      <alignment horizontal="center"/>
    </xf>
    <xf numFmtId="0" fontId="16" fillId="3" borderId="9" xfId="0" applyFont="1" applyFill="1" applyBorder="1" applyAlignment="1" applyProtection="1">
      <alignment horizontal="center"/>
    </xf>
    <xf numFmtId="0" fontId="16" fillId="3" borderId="10" xfId="0" applyFont="1" applyFill="1" applyBorder="1" applyAlignment="1" applyProtection="1">
      <alignment horizontal="center"/>
    </xf>
    <xf numFmtId="170" fontId="16" fillId="3" borderId="22" xfId="0" applyNumberFormat="1" applyFont="1" applyFill="1" applyBorder="1" applyAlignment="1" applyProtection="1">
      <alignment horizontal="center"/>
      <protection locked="0"/>
    </xf>
    <xf numFmtId="170" fontId="16" fillId="3" borderId="9" xfId="0" applyNumberFormat="1" applyFont="1" applyFill="1" applyBorder="1" applyAlignment="1" applyProtection="1">
      <alignment horizontal="center"/>
      <protection locked="0"/>
    </xf>
    <xf numFmtId="170" fontId="16" fillId="3" borderId="10" xfId="0" applyNumberFormat="1" applyFont="1" applyFill="1" applyBorder="1" applyAlignment="1" applyProtection="1">
      <alignment horizontal="center"/>
      <protection locked="0"/>
    </xf>
    <xf numFmtId="0" fontId="16" fillId="3" borderId="13" xfId="0" applyFont="1" applyFill="1" applyBorder="1" applyAlignment="1" applyProtection="1">
      <alignment horizontal="center"/>
      <protection locked="0"/>
    </xf>
    <xf numFmtId="0" fontId="16" fillId="3" borderId="14" xfId="0" applyFont="1" applyFill="1" applyBorder="1" applyAlignment="1" applyProtection="1">
      <alignment horizontal="center"/>
      <protection locked="0"/>
    </xf>
    <xf numFmtId="0" fontId="16" fillId="3" borderId="19" xfId="0" applyFont="1" applyFill="1" applyBorder="1" applyAlignment="1" applyProtection="1">
      <alignment horizontal="center"/>
      <protection locked="0"/>
    </xf>
    <xf numFmtId="168" fontId="16" fillId="3" borderId="24" xfId="0" applyNumberFormat="1" applyFont="1" applyFill="1" applyBorder="1" applyAlignment="1" applyProtection="1">
      <alignment horizontal="center"/>
      <protection locked="0"/>
    </xf>
    <xf numFmtId="168" fontId="16" fillId="3" borderId="5" xfId="0" applyNumberFormat="1" applyFont="1" applyFill="1" applyBorder="1" applyAlignment="1" applyProtection="1">
      <alignment horizontal="center"/>
      <protection locked="0"/>
    </xf>
    <xf numFmtId="168" fontId="16" fillId="3" borderId="6" xfId="0" applyNumberFormat="1" applyFont="1" applyFill="1" applyBorder="1" applyAlignment="1" applyProtection="1">
      <alignment horizontal="center"/>
      <protection locked="0"/>
    </xf>
    <xf numFmtId="0" fontId="16" fillId="3" borderId="22" xfId="0" applyFont="1" applyFill="1" applyBorder="1" applyAlignment="1" applyProtection="1">
      <alignment horizontal="center"/>
      <protection locked="0"/>
    </xf>
    <xf numFmtId="0" fontId="16" fillId="3" borderId="9" xfId="0" applyFont="1" applyFill="1" applyBorder="1" applyAlignment="1" applyProtection="1">
      <alignment horizontal="center"/>
      <protection locked="0"/>
    </xf>
    <xf numFmtId="0" fontId="16" fillId="3" borderId="10" xfId="0" applyFont="1" applyFill="1" applyBorder="1" applyAlignment="1" applyProtection="1">
      <alignment horizontal="center"/>
      <protection locked="0"/>
    </xf>
    <xf numFmtId="0" fontId="16" fillId="3" borderId="17" xfId="0" applyFont="1" applyFill="1" applyBorder="1" applyAlignment="1" applyProtection="1">
      <alignment horizontal="center"/>
    </xf>
    <xf numFmtId="0" fontId="16" fillId="3" borderId="7" xfId="0" applyFont="1" applyFill="1" applyBorder="1" applyAlignment="1" applyProtection="1">
      <alignment horizontal="center"/>
    </xf>
    <xf numFmtId="0" fontId="16" fillId="3" borderId="8" xfId="0" applyFont="1" applyFill="1" applyBorder="1" applyAlignment="1" applyProtection="1">
      <alignment horizontal="center"/>
    </xf>
    <xf numFmtId="49" fontId="16" fillId="3" borderId="22" xfId="0" applyNumberFormat="1" applyFont="1" applyFill="1" applyBorder="1" applyAlignment="1" applyProtection="1">
      <alignment horizontal="center"/>
      <protection locked="0"/>
    </xf>
    <xf numFmtId="49" fontId="16" fillId="3" borderId="9" xfId="0" applyNumberFormat="1" applyFont="1" applyFill="1" applyBorder="1" applyAlignment="1" applyProtection="1">
      <alignment horizontal="center"/>
      <protection locked="0"/>
    </xf>
    <xf numFmtId="49" fontId="16" fillId="3" borderId="10" xfId="0" applyNumberFormat="1" applyFont="1" applyFill="1" applyBorder="1" applyAlignment="1" applyProtection="1">
      <alignment horizontal="center"/>
      <protection locked="0"/>
    </xf>
    <xf numFmtId="0" fontId="23" fillId="2" borderId="4" xfId="0" applyFont="1" applyFill="1" applyBorder="1" applyAlignment="1" applyProtection="1">
      <alignment horizontal="center" vertical="center"/>
    </xf>
    <xf numFmtId="0" fontId="23" fillId="2" borderId="5" xfId="0" applyFont="1" applyFill="1" applyBorder="1" applyAlignment="1" applyProtection="1">
      <alignment horizontal="center" vertical="center"/>
    </xf>
    <xf numFmtId="0" fontId="23" fillId="2" borderId="6" xfId="0" applyFont="1" applyFill="1" applyBorder="1" applyAlignment="1" applyProtection="1">
      <alignment horizontal="center" vertical="center"/>
    </xf>
    <xf numFmtId="0" fontId="0" fillId="0" borderId="0" xfId="0"/>
    <xf numFmtId="0" fontId="22" fillId="2" borderId="4" xfId="0" applyFont="1" applyFill="1" applyBorder="1" applyAlignment="1" applyProtection="1">
      <alignment horizontal="left"/>
    </xf>
    <xf numFmtId="0" fontId="22" fillId="2" borderId="5" xfId="0" applyFont="1" applyFill="1" applyBorder="1" applyAlignment="1" applyProtection="1">
      <alignment horizontal="left"/>
    </xf>
    <xf numFmtId="166" fontId="16" fillId="0" borderId="5" xfId="0" applyNumberFormat="1" applyFont="1" applyFill="1" applyBorder="1" applyAlignment="1" applyProtection="1">
      <alignment horizontal="left" vertical="top"/>
      <protection locked="0"/>
    </xf>
    <xf numFmtId="166" fontId="16" fillId="0" borderId="6" xfId="0" applyNumberFormat="1" applyFont="1" applyFill="1" applyBorder="1" applyAlignment="1" applyProtection="1">
      <alignment horizontal="left" vertical="top"/>
      <protection locked="0"/>
    </xf>
    <xf numFmtId="176" fontId="22" fillId="2" borderId="5" xfId="0" applyNumberFormat="1" applyFont="1" applyFill="1" applyBorder="1" applyAlignment="1">
      <alignment horizontal="right" vertical="center"/>
    </xf>
    <xf numFmtId="176" fontId="22" fillId="2" borderId="6" xfId="0" applyNumberFormat="1" applyFont="1" applyFill="1" applyBorder="1" applyAlignment="1">
      <alignment horizontal="right" vertical="center"/>
    </xf>
    <xf numFmtId="0" fontId="22" fillId="2" borderId="4" xfId="0" applyFont="1" applyFill="1" applyBorder="1" applyAlignment="1" applyProtection="1">
      <alignment horizontal="left" vertical="top" wrapText="1"/>
    </xf>
    <xf numFmtId="0" fontId="22" fillId="2" borderId="5" xfId="0" applyFont="1" applyFill="1" applyBorder="1" applyAlignment="1" applyProtection="1">
      <alignment horizontal="left" vertical="top"/>
    </xf>
    <xf numFmtId="0" fontId="27" fillId="2" borderId="15" xfId="43" applyFont="1" applyFill="1" applyBorder="1" applyAlignment="1">
      <alignment horizontal="left"/>
    </xf>
    <xf numFmtId="0" fontId="27" fillId="2" borderId="16" xfId="43" applyFont="1" applyFill="1" applyBorder="1" applyAlignment="1">
      <alignment horizontal="left"/>
    </xf>
    <xf numFmtId="0" fontId="9" fillId="3" borderId="17" xfId="43" applyFill="1" applyBorder="1" applyAlignment="1">
      <alignment horizontal="center"/>
    </xf>
    <xf numFmtId="0" fontId="9" fillId="3" borderId="7" xfId="43" applyFill="1" applyBorder="1" applyAlignment="1">
      <alignment horizontal="center"/>
    </xf>
    <xf numFmtId="0" fontId="9" fillId="3" borderId="8" xfId="43" applyFill="1" applyBorder="1" applyAlignment="1">
      <alignment horizontal="center"/>
    </xf>
    <xf numFmtId="0" fontId="27" fillId="2" borderId="18" xfId="43" applyFont="1" applyFill="1" applyBorder="1" applyAlignment="1">
      <alignment horizontal="left"/>
    </xf>
    <xf numFmtId="0" fontId="27" fillId="2" borderId="12" xfId="43" applyFont="1" applyFill="1" applyBorder="1" applyAlignment="1">
      <alignment horizontal="left"/>
    </xf>
    <xf numFmtId="0" fontId="9" fillId="3" borderId="13" xfId="43" applyFill="1" applyBorder="1" applyAlignment="1">
      <alignment horizontal="center"/>
    </xf>
    <xf numFmtId="0" fontId="9" fillId="3" borderId="14" xfId="43" applyFill="1" applyBorder="1" applyAlignment="1">
      <alignment horizontal="center"/>
    </xf>
    <xf numFmtId="0" fontId="9" fillId="3" borderId="19" xfId="43" applyFill="1" applyBorder="1" applyAlignment="1">
      <alignment horizontal="center"/>
    </xf>
    <xf numFmtId="0" fontId="27" fillId="2" borderId="20" xfId="43" applyFont="1" applyFill="1" applyBorder="1" applyAlignment="1">
      <alignment horizontal="left"/>
    </xf>
    <xf numFmtId="0" fontId="27" fillId="2" borderId="21" xfId="43" applyFont="1" applyFill="1" applyBorder="1" applyAlignment="1">
      <alignment horizontal="left"/>
    </xf>
    <xf numFmtId="0" fontId="9" fillId="3" borderId="22" xfId="43" applyFill="1" applyBorder="1" applyAlignment="1">
      <alignment horizontal="center"/>
    </xf>
    <xf numFmtId="0" fontId="9" fillId="3" borderId="9" xfId="43" applyFill="1" applyBorder="1" applyAlignment="1">
      <alignment horizontal="center"/>
    </xf>
    <xf numFmtId="0" fontId="9" fillId="3" borderId="10" xfId="43" applyFill="1" applyBorder="1" applyAlignment="1">
      <alignment horizontal="center"/>
    </xf>
    <xf numFmtId="0" fontId="27" fillId="2" borderId="25" xfId="43" applyFont="1" applyFill="1" applyBorder="1" applyAlignment="1">
      <alignment horizontal="left"/>
    </xf>
    <xf numFmtId="0" fontId="27" fillId="2" borderId="27" xfId="43" applyFont="1" applyFill="1" applyBorder="1" applyAlignment="1">
      <alignment horizontal="left"/>
    </xf>
    <xf numFmtId="0" fontId="9" fillId="3" borderId="4" xfId="43" applyFill="1" applyBorder="1" applyAlignment="1">
      <alignment horizontal="left" vertical="top" wrapText="1"/>
    </xf>
    <xf numFmtId="0" fontId="9" fillId="3" borderId="5" xfId="43" applyFill="1" applyBorder="1" applyAlignment="1">
      <alignment horizontal="left" vertical="top" wrapText="1"/>
    </xf>
    <xf numFmtId="0" fontId="9" fillId="3" borderId="6" xfId="43" applyFill="1" applyBorder="1" applyAlignment="1">
      <alignment horizontal="left" vertical="top" wrapText="1"/>
    </xf>
    <xf numFmtId="0" fontId="9" fillId="3" borderId="56" xfId="43" applyFill="1" applyBorder="1" applyAlignment="1">
      <alignment horizontal="center"/>
    </xf>
    <xf numFmtId="0" fontId="9" fillId="3" borderId="55" xfId="43" applyFill="1" applyBorder="1" applyAlignment="1">
      <alignment horizontal="center"/>
    </xf>
    <xf numFmtId="0" fontId="9" fillId="3" borderId="47" xfId="43" applyFill="1" applyBorder="1" applyAlignment="1">
      <alignment horizontal="left" vertical="top"/>
    </xf>
    <xf numFmtId="0" fontId="9" fillId="3" borderId="2" xfId="43" applyFill="1" applyBorder="1" applyAlignment="1">
      <alignment horizontal="left" vertical="top"/>
    </xf>
    <xf numFmtId="0" fontId="9" fillId="3" borderId="48" xfId="43" applyFill="1" applyBorder="1" applyAlignment="1">
      <alignment horizontal="left" vertical="top"/>
    </xf>
    <xf numFmtId="0" fontId="9" fillId="3" borderId="54" xfId="43" applyFill="1" applyBorder="1" applyAlignment="1">
      <alignment horizontal="left" vertical="top"/>
    </xf>
    <xf numFmtId="0" fontId="9" fillId="3" borderId="0" xfId="43" applyFill="1" applyAlignment="1">
      <alignment horizontal="left" vertical="top"/>
    </xf>
    <xf numFmtId="0" fontId="9" fillId="3" borderId="51" xfId="43" applyFill="1" applyBorder="1" applyAlignment="1">
      <alignment horizontal="left" vertical="top"/>
    </xf>
    <xf numFmtId="0" fontId="9" fillId="3" borderId="49" xfId="43" applyFill="1" applyBorder="1" applyAlignment="1">
      <alignment horizontal="left" vertical="top"/>
    </xf>
    <xf numFmtId="0" fontId="9" fillId="3" borderId="3" xfId="43" applyFill="1" applyBorder="1" applyAlignment="1">
      <alignment horizontal="left" vertical="top"/>
    </xf>
    <xf numFmtId="0" fontId="9" fillId="3" borderId="50" xfId="43" applyFill="1" applyBorder="1" applyAlignment="1">
      <alignment horizontal="left" vertical="top"/>
    </xf>
    <xf numFmtId="168" fontId="9" fillId="3" borderId="24" xfId="43" applyNumberFormat="1" applyFill="1" applyBorder="1" applyAlignment="1">
      <alignment horizontal="center"/>
    </xf>
    <xf numFmtId="168" fontId="9" fillId="3" borderId="5" xfId="43" applyNumberFormat="1" applyFill="1" applyBorder="1" applyAlignment="1">
      <alignment horizontal="center"/>
    </xf>
    <xf numFmtId="168" fontId="9" fillId="3" borderId="6" xfId="43" applyNumberFormat="1" applyFill="1" applyBorder="1" applyAlignment="1">
      <alignment horizontal="center"/>
    </xf>
    <xf numFmtId="14" fontId="9" fillId="3" borderId="5" xfId="43" applyNumberFormat="1" applyFill="1" applyBorder="1" applyAlignment="1">
      <alignment horizontal="center"/>
    </xf>
    <xf numFmtId="14" fontId="9" fillId="3" borderId="6" xfId="43" applyNumberFormat="1" applyFill="1" applyBorder="1" applyAlignment="1">
      <alignment horizontal="center"/>
    </xf>
    <xf numFmtId="14" fontId="9" fillId="3" borderId="24" xfId="43" applyNumberFormat="1" applyFill="1" applyBorder="1" applyAlignment="1">
      <alignment horizontal="center"/>
    </xf>
    <xf numFmtId="0" fontId="27" fillId="2" borderId="62" xfId="43" applyFont="1" applyFill="1" applyBorder="1" applyAlignment="1">
      <alignment horizontal="left" vertical="top" wrapText="1"/>
    </xf>
    <xf numFmtId="0" fontId="27" fillId="2" borderId="61" xfId="43" applyFont="1" applyFill="1" applyBorder="1" applyAlignment="1">
      <alignment horizontal="left" vertical="top"/>
    </xf>
    <xf numFmtId="168" fontId="15" fillId="2" borderId="52" xfId="43" applyNumberFormat="1" applyFont="1" applyFill="1" applyBorder="1" applyAlignment="1">
      <alignment horizontal="center" vertical="center"/>
    </xf>
    <xf numFmtId="168" fontId="15" fillId="2" borderId="6" xfId="43" applyNumberFormat="1" applyFont="1" applyFill="1" applyBorder="1" applyAlignment="1">
      <alignment horizontal="center" vertical="center"/>
    </xf>
    <xf numFmtId="168" fontId="9" fillId="3" borderId="58" xfId="43" applyNumberFormat="1" applyFill="1" applyBorder="1" applyAlignment="1">
      <alignment horizontal="center"/>
    </xf>
    <xf numFmtId="168" fontId="9" fillId="3" borderId="57" xfId="43" applyNumberFormat="1" applyFill="1" applyBorder="1" applyAlignment="1">
      <alignment horizontal="center"/>
    </xf>
    <xf numFmtId="168" fontId="9" fillId="3" borderId="55" xfId="43" applyNumberFormat="1" applyFill="1" applyBorder="1" applyAlignment="1">
      <alignment horizontal="center"/>
    </xf>
    <xf numFmtId="0" fontId="9" fillId="3" borderId="56" xfId="43" applyFill="1" applyBorder="1" applyAlignment="1">
      <alignment horizontal="center" vertical="center"/>
    </xf>
    <xf numFmtId="0" fontId="9" fillId="3" borderId="57" xfId="43" applyFill="1" applyBorder="1" applyAlignment="1">
      <alignment horizontal="center" vertical="center"/>
    </xf>
    <xf numFmtId="0" fontId="9" fillId="3" borderId="55" xfId="43" applyFill="1" applyBorder="1" applyAlignment="1">
      <alignment horizontal="center" vertical="center"/>
    </xf>
    <xf numFmtId="0" fontId="9" fillId="3" borderId="57" xfId="43" applyFill="1" applyBorder="1" applyAlignment="1">
      <alignment horizontal="center"/>
    </xf>
  </cellXfs>
  <cellStyles count="583">
    <cellStyle name="Euro" xfId="1" xr:uid="{00000000-0005-0000-0000-000000000000}"/>
    <cellStyle name="Euro 2" xfId="2" xr:uid="{00000000-0005-0000-0000-000001000000}"/>
    <cellStyle name="Euro 2 2" xfId="81" xr:uid="{00000000-0005-0000-0000-000002000000}"/>
    <cellStyle name="Komma" xfId="580" builtinId="3"/>
    <cellStyle name="Komma 2" xfId="582" xr:uid="{00000000-0005-0000-0000-000004000000}"/>
    <cellStyle name="Prozent" xfId="579" builtinId="5"/>
    <cellStyle name="Standard" xfId="0" builtinId="0"/>
    <cellStyle name="Standard 10" xfId="29" xr:uid="{00000000-0005-0000-0000-000007000000}"/>
    <cellStyle name="Standard 10 2" xfId="66" xr:uid="{00000000-0005-0000-0000-000008000000}"/>
    <cellStyle name="Standard 10 2 2" xfId="143" xr:uid="{00000000-0005-0000-0000-000009000000}"/>
    <cellStyle name="Standard 10 2 2 2" xfId="285" xr:uid="{00000000-0005-0000-0000-00000A000000}"/>
    <cellStyle name="Standard 10 2 2 2 2" xfId="567" xr:uid="{00000000-0005-0000-0000-00000B000000}"/>
    <cellStyle name="Standard 10 2 2 3" xfId="427" xr:uid="{00000000-0005-0000-0000-00000C000000}"/>
    <cellStyle name="Standard 10 2 3" xfId="215" xr:uid="{00000000-0005-0000-0000-00000D000000}"/>
    <cellStyle name="Standard 10 2 3 2" xfId="497" xr:uid="{00000000-0005-0000-0000-00000E000000}"/>
    <cellStyle name="Standard 10 2 4" xfId="357" xr:uid="{00000000-0005-0000-0000-00000F000000}"/>
    <cellStyle name="Standard 10 3" xfId="107" xr:uid="{00000000-0005-0000-0000-000010000000}"/>
    <cellStyle name="Standard 10 3 2" xfId="250" xr:uid="{00000000-0005-0000-0000-000011000000}"/>
    <cellStyle name="Standard 10 3 2 2" xfId="532" xr:uid="{00000000-0005-0000-0000-000012000000}"/>
    <cellStyle name="Standard 10 3 3" xfId="392" xr:uid="{00000000-0005-0000-0000-000013000000}"/>
    <cellStyle name="Standard 10 4" xfId="179" xr:uid="{00000000-0005-0000-0000-000014000000}"/>
    <cellStyle name="Standard 10 4 2" xfId="462" xr:uid="{00000000-0005-0000-0000-000015000000}"/>
    <cellStyle name="Standard 10 5" xfId="321" xr:uid="{00000000-0005-0000-0000-000016000000}"/>
    <cellStyle name="Standard 11" xfId="43" xr:uid="{00000000-0005-0000-0000-000017000000}"/>
    <cellStyle name="Standard 12" xfId="42" xr:uid="{00000000-0005-0000-0000-000018000000}"/>
    <cellStyle name="Standard 12 2" xfId="120" xr:uid="{00000000-0005-0000-0000-000019000000}"/>
    <cellStyle name="Standard 12 2 2" xfId="262" xr:uid="{00000000-0005-0000-0000-00001A000000}"/>
    <cellStyle name="Standard 12 2 2 2" xfId="544" xr:uid="{00000000-0005-0000-0000-00001B000000}"/>
    <cellStyle name="Standard 12 2 3" xfId="404" xr:uid="{00000000-0005-0000-0000-00001C000000}"/>
    <cellStyle name="Standard 12 3" xfId="192" xr:uid="{00000000-0005-0000-0000-00001D000000}"/>
    <cellStyle name="Standard 12 3 2" xfId="474" xr:uid="{00000000-0005-0000-0000-00001E000000}"/>
    <cellStyle name="Standard 12 4" xfId="334" xr:uid="{00000000-0005-0000-0000-00001F000000}"/>
    <cellStyle name="Standard 13" xfId="80" xr:uid="{00000000-0005-0000-0000-000020000000}"/>
    <cellStyle name="Standard 14" xfId="79" xr:uid="{00000000-0005-0000-0000-000021000000}"/>
    <cellStyle name="Standard 14 2" xfId="227" xr:uid="{00000000-0005-0000-0000-000022000000}"/>
    <cellStyle name="Standard 14 2 2" xfId="509" xr:uid="{00000000-0005-0000-0000-000023000000}"/>
    <cellStyle name="Standard 14 3" xfId="369" xr:uid="{00000000-0005-0000-0000-000024000000}"/>
    <cellStyle name="Standard 15" xfId="156" xr:uid="{00000000-0005-0000-0000-000025000000}"/>
    <cellStyle name="Standard 16" xfId="155" xr:uid="{00000000-0005-0000-0000-000026000000}"/>
    <cellStyle name="Standard 16 2" xfId="439" xr:uid="{00000000-0005-0000-0000-000027000000}"/>
    <cellStyle name="Standard 17" xfId="298" xr:uid="{00000000-0005-0000-0000-000028000000}"/>
    <cellStyle name="Standard 18" xfId="297" xr:uid="{00000000-0005-0000-0000-000029000000}"/>
    <cellStyle name="Standard 2" xfId="3" xr:uid="{00000000-0005-0000-0000-00002A000000}"/>
    <cellStyle name="Standard 2 10" xfId="299" xr:uid="{00000000-0005-0000-0000-00002B000000}"/>
    <cellStyle name="Standard 2 2" xfId="7" xr:uid="{00000000-0005-0000-0000-00002C000000}"/>
    <cellStyle name="Standard 2 2 2" xfId="15" xr:uid="{00000000-0005-0000-0000-00002D000000}"/>
    <cellStyle name="Standard 2 2 2 2" xfId="39" xr:uid="{00000000-0005-0000-0000-00002E000000}"/>
    <cellStyle name="Standard 2 2 2 2 2" xfId="75" xr:uid="{00000000-0005-0000-0000-00002F000000}"/>
    <cellStyle name="Standard 2 2 2 2 2 2" xfId="152" xr:uid="{00000000-0005-0000-0000-000030000000}"/>
    <cellStyle name="Standard 2 2 2 2 2 2 2" xfId="294" xr:uid="{00000000-0005-0000-0000-000031000000}"/>
    <cellStyle name="Standard 2 2 2 2 2 2 2 2" xfId="576" xr:uid="{00000000-0005-0000-0000-000032000000}"/>
    <cellStyle name="Standard 2 2 2 2 2 2 3" xfId="436" xr:uid="{00000000-0005-0000-0000-000033000000}"/>
    <cellStyle name="Standard 2 2 2 2 2 3" xfId="224" xr:uid="{00000000-0005-0000-0000-000034000000}"/>
    <cellStyle name="Standard 2 2 2 2 2 3 2" xfId="506" xr:uid="{00000000-0005-0000-0000-000035000000}"/>
    <cellStyle name="Standard 2 2 2 2 2 4" xfId="366" xr:uid="{00000000-0005-0000-0000-000036000000}"/>
    <cellStyle name="Standard 2 2 2 2 3" xfId="116" xr:uid="{00000000-0005-0000-0000-000037000000}"/>
    <cellStyle name="Standard 2 2 2 2 3 2" xfId="259" xr:uid="{00000000-0005-0000-0000-000038000000}"/>
    <cellStyle name="Standard 2 2 2 2 3 2 2" xfId="541" xr:uid="{00000000-0005-0000-0000-000039000000}"/>
    <cellStyle name="Standard 2 2 2 2 3 3" xfId="401" xr:uid="{00000000-0005-0000-0000-00003A000000}"/>
    <cellStyle name="Standard 2 2 2 2 4" xfId="188" xr:uid="{00000000-0005-0000-0000-00003B000000}"/>
    <cellStyle name="Standard 2 2 2 2 4 2" xfId="471" xr:uid="{00000000-0005-0000-0000-00003C000000}"/>
    <cellStyle name="Standard 2 2 2 2 5" xfId="330" xr:uid="{00000000-0005-0000-0000-00003D000000}"/>
    <cellStyle name="Standard 2 2 2 3" xfId="26" xr:uid="{00000000-0005-0000-0000-00003E000000}"/>
    <cellStyle name="Standard 2 2 2 3 2" xfId="63" xr:uid="{00000000-0005-0000-0000-00003F000000}"/>
    <cellStyle name="Standard 2 2 2 3 2 2" xfId="140" xr:uid="{00000000-0005-0000-0000-000040000000}"/>
    <cellStyle name="Standard 2 2 2 3 2 2 2" xfId="282" xr:uid="{00000000-0005-0000-0000-000041000000}"/>
    <cellStyle name="Standard 2 2 2 3 2 2 2 2" xfId="564" xr:uid="{00000000-0005-0000-0000-000042000000}"/>
    <cellStyle name="Standard 2 2 2 3 2 2 3" xfId="424" xr:uid="{00000000-0005-0000-0000-000043000000}"/>
    <cellStyle name="Standard 2 2 2 3 2 3" xfId="212" xr:uid="{00000000-0005-0000-0000-000044000000}"/>
    <cellStyle name="Standard 2 2 2 3 2 3 2" xfId="494" xr:uid="{00000000-0005-0000-0000-000045000000}"/>
    <cellStyle name="Standard 2 2 2 3 2 4" xfId="354" xr:uid="{00000000-0005-0000-0000-000046000000}"/>
    <cellStyle name="Standard 2 2 2 3 3" xfId="104" xr:uid="{00000000-0005-0000-0000-000047000000}"/>
    <cellStyle name="Standard 2 2 2 3 3 2" xfId="247" xr:uid="{00000000-0005-0000-0000-000048000000}"/>
    <cellStyle name="Standard 2 2 2 3 3 2 2" xfId="529" xr:uid="{00000000-0005-0000-0000-000049000000}"/>
    <cellStyle name="Standard 2 2 2 3 3 3" xfId="389" xr:uid="{00000000-0005-0000-0000-00004A000000}"/>
    <cellStyle name="Standard 2 2 2 3 4" xfId="176" xr:uid="{00000000-0005-0000-0000-00004B000000}"/>
    <cellStyle name="Standard 2 2 2 3 4 2" xfId="459" xr:uid="{00000000-0005-0000-0000-00004C000000}"/>
    <cellStyle name="Standard 2 2 2 3 5" xfId="318" xr:uid="{00000000-0005-0000-0000-00004D000000}"/>
    <cellStyle name="Standard 2 2 2 4" xfId="52" xr:uid="{00000000-0005-0000-0000-00004E000000}"/>
    <cellStyle name="Standard 2 2 2 4 2" xfId="129" xr:uid="{00000000-0005-0000-0000-00004F000000}"/>
    <cellStyle name="Standard 2 2 2 4 2 2" xfId="271" xr:uid="{00000000-0005-0000-0000-000050000000}"/>
    <cellStyle name="Standard 2 2 2 4 2 2 2" xfId="553" xr:uid="{00000000-0005-0000-0000-000051000000}"/>
    <cellStyle name="Standard 2 2 2 4 2 3" xfId="413" xr:uid="{00000000-0005-0000-0000-000052000000}"/>
    <cellStyle name="Standard 2 2 2 4 3" xfId="201" xr:uid="{00000000-0005-0000-0000-000053000000}"/>
    <cellStyle name="Standard 2 2 2 4 3 2" xfId="483" xr:uid="{00000000-0005-0000-0000-000054000000}"/>
    <cellStyle name="Standard 2 2 2 4 4" xfId="343" xr:uid="{00000000-0005-0000-0000-000055000000}"/>
    <cellStyle name="Standard 2 2 2 5" xfId="93" xr:uid="{00000000-0005-0000-0000-000056000000}"/>
    <cellStyle name="Standard 2 2 2 5 2" xfId="236" xr:uid="{00000000-0005-0000-0000-000057000000}"/>
    <cellStyle name="Standard 2 2 2 5 2 2" xfId="518" xr:uid="{00000000-0005-0000-0000-000058000000}"/>
    <cellStyle name="Standard 2 2 2 5 3" xfId="378" xr:uid="{00000000-0005-0000-0000-000059000000}"/>
    <cellStyle name="Standard 2 2 2 6" xfId="165" xr:uid="{00000000-0005-0000-0000-00005A000000}"/>
    <cellStyle name="Standard 2 2 2 6 2" xfId="448" xr:uid="{00000000-0005-0000-0000-00005B000000}"/>
    <cellStyle name="Standard 2 2 2 7" xfId="307" xr:uid="{00000000-0005-0000-0000-00005C000000}"/>
    <cellStyle name="Standard 2 2 3" xfId="33" xr:uid="{00000000-0005-0000-0000-00005D000000}"/>
    <cellStyle name="Standard 2 2 3 2" xfId="69" xr:uid="{00000000-0005-0000-0000-00005E000000}"/>
    <cellStyle name="Standard 2 2 3 2 2" xfId="146" xr:uid="{00000000-0005-0000-0000-00005F000000}"/>
    <cellStyle name="Standard 2 2 3 2 2 2" xfId="288" xr:uid="{00000000-0005-0000-0000-000060000000}"/>
    <cellStyle name="Standard 2 2 3 2 2 2 2" xfId="570" xr:uid="{00000000-0005-0000-0000-000061000000}"/>
    <cellStyle name="Standard 2 2 3 2 2 3" xfId="430" xr:uid="{00000000-0005-0000-0000-000062000000}"/>
    <cellStyle name="Standard 2 2 3 2 3" xfId="218" xr:uid="{00000000-0005-0000-0000-000063000000}"/>
    <cellStyle name="Standard 2 2 3 2 3 2" xfId="500" xr:uid="{00000000-0005-0000-0000-000064000000}"/>
    <cellStyle name="Standard 2 2 3 2 4" xfId="360" xr:uid="{00000000-0005-0000-0000-000065000000}"/>
    <cellStyle name="Standard 2 2 3 3" xfId="110" xr:uid="{00000000-0005-0000-0000-000066000000}"/>
    <cellStyle name="Standard 2 2 3 3 2" xfId="253" xr:uid="{00000000-0005-0000-0000-000067000000}"/>
    <cellStyle name="Standard 2 2 3 3 2 2" xfId="535" xr:uid="{00000000-0005-0000-0000-000068000000}"/>
    <cellStyle name="Standard 2 2 3 3 3" xfId="395" xr:uid="{00000000-0005-0000-0000-000069000000}"/>
    <cellStyle name="Standard 2 2 3 4" xfId="182" xr:uid="{00000000-0005-0000-0000-00006A000000}"/>
    <cellStyle name="Standard 2 2 3 4 2" xfId="465" xr:uid="{00000000-0005-0000-0000-00006B000000}"/>
    <cellStyle name="Standard 2 2 3 5" xfId="324" xr:uid="{00000000-0005-0000-0000-00006C000000}"/>
    <cellStyle name="Standard 2 2 4" xfId="20" xr:uid="{00000000-0005-0000-0000-00006D000000}"/>
    <cellStyle name="Standard 2 2 4 2" xfId="57" xr:uid="{00000000-0005-0000-0000-00006E000000}"/>
    <cellStyle name="Standard 2 2 4 2 2" xfId="134" xr:uid="{00000000-0005-0000-0000-00006F000000}"/>
    <cellStyle name="Standard 2 2 4 2 2 2" xfId="276" xr:uid="{00000000-0005-0000-0000-000070000000}"/>
    <cellStyle name="Standard 2 2 4 2 2 2 2" xfId="558" xr:uid="{00000000-0005-0000-0000-000071000000}"/>
    <cellStyle name="Standard 2 2 4 2 2 3" xfId="418" xr:uid="{00000000-0005-0000-0000-000072000000}"/>
    <cellStyle name="Standard 2 2 4 2 3" xfId="206" xr:uid="{00000000-0005-0000-0000-000073000000}"/>
    <cellStyle name="Standard 2 2 4 2 3 2" xfId="488" xr:uid="{00000000-0005-0000-0000-000074000000}"/>
    <cellStyle name="Standard 2 2 4 2 4" xfId="348" xr:uid="{00000000-0005-0000-0000-000075000000}"/>
    <cellStyle name="Standard 2 2 4 3" xfId="98" xr:uid="{00000000-0005-0000-0000-000076000000}"/>
    <cellStyle name="Standard 2 2 4 3 2" xfId="241" xr:uid="{00000000-0005-0000-0000-000077000000}"/>
    <cellStyle name="Standard 2 2 4 3 2 2" xfId="523" xr:uid="{00000000-0005-0000-0000-000078000000}"/>
    <cellStyle name="Standard 2 2 4 3 3" xfId="383" xr:uid="{00000000-0005-0000-0000-000079000000}"/>
    <cellStyle name="Standard 2 2 4 4" xfId="170" xr:uid="{00000000-0005-0000-0000-00007A000000}"/>
    <cellStyle name="Standard 2 2 4 4 2" xfId="453" xr:uid="{00000000-0005-0000-0000-00007B000000}"/>
    <cellStyle name="Standard 2 2 4 5" xfId="312" xr:uid="{00000000-0005-0000-0000-00007C000000}"/>
    <cellStyle name="Standard 2 2 5" xfId="46" xr:uid="{00000000-0005-0000-0000-00007D000000}"/>
    <cellStyle name="Standard 2 2 5 2" xfId="123" xr:uid="{00000000-0005-0000-0000-00007E000000}"/>
    <cellStyle name="Standard 2 2 5 2 2" xfId="265" xr:uid="{00000000-0005-0000-0000-00007F000000}"/>
    <cellStyle name="Standard 2 2 5 2 2 2" xfId="547" xr:uid="{00000000-0005-0000-0000-000080000000}"/>
    <cellStyle name="Standard 2 2 5 2 3" xfId="407" xr:uid="{00000000-0005-0000-0000-000081000000}"/>
    <cellStyle name="Standard 2 2 5 3" xfId="195" xr:uid="{00000000-0005-0000-0000-000082000000}"/>
    <cellStyle name="Standard 2 2 5 3 2" xfId="477" xr:uid="{00000000-0005-0000-0000-000083000000}"/>
    <cellStyle name="Standard 2 2 5 4" xfId="337" xr:uid="{00000000-0005-0000-0000-000084000000}"/>
    <cellStyle name="Standard 2 2 6" xfId="85" xr:uid="{00000000-0005-0000-0000-000085000000}"/>
    <cellStyle name="Standard 2 2 6 2" xfId="230" xr:uid="{00000000-0005-0000-0000-000086000000}"/>
    <cellStyle name="Standard 2 2 6 2 2" xfId="512" xr:uid="{00000000-0005-0000-0000-000087000000}"/>
    <cellStyle name="Standard 2 2 6 3" xfId="372" xr:uid="{00000000-0005-0000-0000-000088000000}"/>
    <cellStyle name="Standard 2 2 7" xfId="159" xr:uid="{00000000-0005-0000-0000-000089000000}"/>
    <cellStyle name="Standard 2 2 7 2" xfId="442" xr:uid="{00000000-0005-0000-0000-00008A000000}"/>
    <cellStyle name="Standard 2 2 8" xfId="301" xr:uid="{00000000-0005-0000-0000-00008B000000}"/>
    <cellStyle name="Standard 2 2 9" xfId="581" xr:uid="{00000000-0005-0000-0000-00008C000000}"/>
    <cellStyle name="Standard 2 3" xfId="9" xr:uid="{00000000-0005-0000-0000-00008D000000}"/>
    <cellStyle name="Standard 2 3 2" xfId="17" xr:uid="{00000000-0005-0000-0000-00008E000000}"/>
    <cellStyle name="Standard 2 3 2 2" xfId="41" xr:uid="{00000000-0005-0000-0000-00008F000000}"/>
    <cellStyle name="Standard 2 3 2 2 2" xfId="77" xr:uid="{00000000-0005-0000-0000-000090000000}"/>
    <cellStyle name="Standard 2 3 2 2 2 2" xfId="154" xr:uid="{00000000-0005-0000-0000-000091000000}"/>
    <cellStyle name="Standard 2 3 2 2 2 2 2" xfId="296" xr:uid="{00000000-0005-0000-0000-000092000000}"/>
    <cellStyle name="Standard 2 3 2 2 2 2 2 2" xfId="578" xr:uid="{00000000-0005-0000-0000-000093000000}"/>
    <cellStyle name="Standard 2 3 2 2 2 2 3" xfId="438" xr:uid="{00000000-0005-0000-0000-000094000000}"/>
    <cellStyle name="Standard 2 3 2 2 2 3" xfId="226" xr:uid="{00000000-0005-0000-0000-000095000000}"/>
    <cellStyle name="Standard 2 3 2 2 2 3 2" xfId="508" xr:uid="{00000000-0005-0000-0000-000096000000}"/>
    <cellStyle name="Standard 2 3 2 2 2 4" xfId="368" xr:uid="{00000000-0005-0000-0000-000097000000}"/>
    <cellStyle name="Standard 2 3 2 2 3" xfId="118" xr:uid="{00000000-0005-0000-0000-000098000000}"/>
    <cellStyle name="Standard 2 3 2 2 3 2" xfId="261" xr:uid="{00000000-0005-0000-0000-000099000000}"/>
    <cellStyle name="Standard 2 3 2 2 3 2 2" xfId="543" xr:uid="{00000000-0005-0000-0000-00009A000000}"/>
    <cellStyle name="Standard 2 3 2 2 3 3" xfId="403" xr:uid="{00000000-0005-0000-0000-00009B000000}"/>
    <cellStyle name="Standard 2 3 2 2 4" xfId="190" xr:uid="{00000000-0005-0000-0000-00009C000000}"/>
    <cellStyle name="Standard 2 3 2 2 4 2" xfId="473" xr:uid="{00000000-0005-0000-0000-00009D000000}"/>
    <cellStyle name="Standard 2 3 2 2 5" xfId="332" xr:uid="{00000000-0005-0000-0000-00009E000000}"/>
    <cellStyle name="Standard 2 3 2 3" xfId="28" xr:uid="{00000000-0005-0000-0000-00009F000000}"/>
    <cellStyle name="Standard 2 3 2 3 2" xfId="65" xr:uid="{00000000-0005-0000-0000-0000A0000000}"/>
    <cellStyle name="Standard 2 3 2 3 2 2" xfId="142" xr:uid="{00000000-0005-0000-0000-0000A1000000}"/>
    <cellStyle name="Standard 2 3 2 3 2 2 2" xfId="284" xr:uid="{00000000-0005-0000-0000-0000A2000000}"/>
    <cellStyle name="Standard 2 3 2 3 2 2 2 2" xfId="566" xr:uid="{00000000-0005-0000-0000-0000A3000000}"/>
    <cellStyle name="Standard 2 3 2 3 2 2 3" xfId="426" xr:uid="{00000000-0005-0000-0000-0000A4000000}"/>
    <cellStyle name="Standard 2 3 2 3 2 3" xfId="214" xr:uid="{00000000-0005-0000-0000-0000A5000000}"/>
    <cellStyle name="Standard 2 3 2 3 2 3 2" xfId="496" xr:uid="{00000000-0005-0000-0000-0000A6000000}"/>
    <cellStyle name="Standard 2 3 2 3 2 4" xfId="356" xr:uid="{00000000-0005-0000-0000-0000A7000000}"/>
    <cellStyle name="Standard 2 3 2 3 3" xfId="106" xr:uid="{00000000-0005-0000-0000-0000A8000000}"/>
    <cellStyle name="Standard 2 3 2 3 3 2" xfId="249" xr:uid="{00000000-0005-0000-0000-0000A9000000}"/>
    <cellStyle name="Standard 2 3 2 3 3 2 2" xfId="531" xr:uid="{00000000-0005-0000-0000-0000AA000000}"/>
    <cellStyle name="Standard 2 3 2 3 3 3" xfId="391" xr:uid="{00000000-0005-0000-0000-0000AB000000}"/>
    <cellStyle name="Standard 2 3 2 3 4" xfId="178" xr:uid="{00000000-0005-0000-0000-0000AC000000}"/>
    <cellStyle name="Standard 2 3 2 3 4 2" xfId="461" xr:uid="{00000000-0005-0000-0000-0000AD000000}"/>
    <cellStyle name="Standard 2 3 2 3 5" xfId="320" xr:uid="{00000000-0005-0000-0000-0000AE000000}"/>
    <cellStyle name="Standard 2 3 2 4" xfId="54" xr:uid="{00000000-0005-0000-0000-0000AF000000}"/>
    <cellStyle name="Standard 2 3 2 4 2" xfId="131" xr:uid="{00000000-0005-0000-0000-0000B0000000}"/>
    <cellStyle name="Standard 2 3 2 4 2 2" xfId="273" xr:uid="{00000000-0005-0000-0000-0000B1000000}"/>
    <cellStyle name="Standard 2 3 2 4 2 2 2" xfId="555" xr:uid="{00000000-0005-0000-0000-0000B2000000}"/>
    <cellStyle name="Standard 2 3 2 4 2 3" xfId="415" xr:uid="{00000000-0005-0000-0000-0000B3000000}"/>
    <cellStyle name="Standard 2 3 2 4 3" xfId="203" xr:uid="{00000000-0005-0000-0000-0000B4000000}"/>
    <cellStyle name="Standard 2 3 2 4 3 2" xfId="485" xr:uid="{00000000-0005-0000-0000-0000B5000000}"/>
    <cellStyle name="Standard 2 3 2 4 4" xfId="345" xr:uid="{00000000-0005-0000-0000-0000B6000000}"/>
    <cellStyle name="Standard 2 3 2 5" xfId="95" xr:uid="{00000000-0005-0000-0000-0000B7000000}"/>
    <cellStyle name="Standard 2 3 2 5 2" xfId="238" xr:uid="{00000000-0005-0000-0000-0000B8000000}"/>
    <cellStyle name="Standard 2 3 2 5 2 2" xfId="520" xr:uid="{00000000-0005-0000-0000-0000B9000000}"/>
    <cellStyle name="Standard 2 3 2 5 3" xfId="380" xr:uid="{00000000-0005-0000-0000-0000BA000000}"/>
    <cellStyle name="Standard 2 3 2 6" xfId="167" xr:uid="{00000000-0005-0000-0000-0000BB000000}"/>
    <cellStyle name="Standard 2 3 2 6 2" xfId="450" xr:uid="{00000000-0005-0000-0000-0000BC000000}"/>
    <cellStyle name="Standard 2 3 2 7" xfId="309" xr:uid="{00000000-0005-0000-0000-0000BD000000}"/>
    <cellStyle name="Standard 2 3 3" xfId="35" xr:uid="{00000000-0005-0000-0000-0000BE000000}"/>
    <cellStyle name="Standard 2 3 3 2" xfId="71" xr:uid="{00000000-0005-0000-0000-0000BF000000}"/>
    <cellStyle name="Standard 2 3 3 2 2" xfId="148" xr:uid="{00000000-0005-0000-0000-0000C0000000}"/>
    <cellStyle name="Standard 2 3 3 2 2 2" xfId="290" xr:uid="{00000000-0005-0000-0000-0000C1000000}"/>
    <cellStyle name="Standard 2 3 3 2 2 2 2" xfId="572" xr:uid="{00000000-0005-0000-0000-0000C2000000}"/>
    <cellStyle name="Standard 2 3 3 2 2 3" xfId="432" xr:uid="{00000000-0005-0000-0000-0000C3000000}"/>
    <cellStyle name="Standard 2 3 3 2 3" xfId="220" xr:uid="{00000000-0005-0000-0000-0000C4000000}"/>
    <cellStyle name="Standard 2 3 3 2 3 2" xfId="502" xr:uid="{00000000-0005-0000-0000-0000C5000000}"/>
    <cellStyle name="Standard 2 3 3 2 4" xfId="362" xr:uid="{00000000-0005-0000-0000-0000C6000000}"/>
    <cellStyle name="Standard 2 3 3 3" xfId="112" xr:uid="{00000000-0005-0000-0000-0000C7000000}"/>
    <cellStyle name="Standard 2 3 3 3 2" xfId="255" xr:uid="{00000000-0005-0000-0000-0000C8000000}"/>
    <cellStyle name="Standard 2 3 3 3 2 2" xfId="537" xr:uid="{00000000-0005-0000-0000-0000C9000000}"/>
    <cellStyle name="Standard 2 3 3 3 3" xfId="397" xr:uid="{00000000-0005-0000-0000-0000CA000000}"/>
    <cellStyle name="Standard 2 3 3 4" xfId="184" xr:uid="{00000000-0005-0000-0000-0000CB000000}"/>
    <cellStyle name="Standard 2 3 3 4 2" xfId="467" xr:uid="{00000000-0005-0000-0000-0000CC000000}"/>
    <cellStyle name="Standard 2 3 3 5" xfId="326" xr:uid="{00000000-0005-0000-0000-0000CD000000}"/>
    <cellStyle name="Standard 2 3 4" xfId="22" xr:uid="{00000000-0005-0000-0000-0000CE000000}"/>
    <cellStyle name="Standard 2 3 4 2" xfId="59" xr:uid="{00000000-0005-0000-0000-0000CF000000}"/>
    <cellStyle name="Standard 2 3 4 2 2" xfId="136" xr:uid="{00000000-0005-0000-0000-0000D0000000}"/>
    <cellStyle name="Standard 2 3 4 2 2 2" xfId="278" xr:uid="{00000000-0005-0000-0000-0000D1000000}"/>
    <cellStyle name="Standard 2 3 4 2 2 2 2" xfId="560" xr:uid="{00000000-0005-0000-0000-0000D2000000}"/>
    <cellStyle name="Standard 2 3 4 2 2 3" xfId="420" xr:uid="{00000000-0005-0000-0000-0000D3000000}"/>
    <cellStyle name="Standard 2 3 4 2 3" xfId="208" xr:uid="{00000000-0005-0000-0000-0000D4000000}"/>
    <cellStyle name="Standard 2 3 4 2 3 2" xfId="490" xr:uid="{00000000-0005-0000-0000-0000D5000000}"/>
    <cellStyle name="Standard 2 3 4 2 4" xfId="350" xr:uid="{00000000-0005-0000-0000-0000D6000000}"/>
    <cellStyle name="Standard 2 3 4 3" xfId="100" xr:uid="{00000000-0005-0000-0000-0000D7000000}"/>
    <cellStyle name="Standard 2 3 4 3 2" xfId="243" xr:uid="{00000000-0005-0000-0000-0000D8000000}"/>
    <cellStyle name="Standard 2 3 4 3 2 2" xfId="525" xr:uid="{00000000-0005-0000-0000-0000D9000000}"/>
    <cellStyle name="Standard 2 3 4 3 3" xfId="385" xr:uid="{00000000-0005-0000-0000-0000DA000000}"/>
    <cellStyle name="Standard 2 3 4 4" xfId="172" xr:uid="{00000000-0005-0000-0000-0000DB000000}"/>
    <cellStyle name="Standard 2 3 4 4 2" xfId="455" xr:uid="{00000000-0005-0000-0000-0000DC000000}"/>
    <cellStyle name="Standard 2 3 4 5" xfId="314" xr:uid="{00000000-0005-0000-0000-0000DD000000}"/>
    <cellStyle name="Standard 2 3 5" xfId="48" xr:uid="{00000000-0005-0000-0000-0000DE000000}"/>
    <cellStyle name="Standard 2 3 5 2" xfId="125" xr:uid="{00000000-0005-0000-0000-0000DF000000}"/>
    <cellStyle name="Standard 2 3 5 2 2" xfId="267" xr:uid="{00000000-0005-0000-0000-0000E0000000}"/>
    <cellStyle name="Standard 2 3 5 2 2 2" xfId="549" xr:uid="{00000000-0005-0000-0000-0000E1000000}"/>
    <cellStyle name="Standard 2 3 5 2 3" xfId="409" xr:uid="{00000000-0005-0000-0000-0000E2000000}"/>
    <cellStyle name="Standard 2 3 5 3" xfId="197" xr:uid="{00000000-0005-0000-0000-0000E3000000}"/>
    <cellStyle name="Standard 2 3 5 3 2" xfId="479" xr:uid="{00000000-0005-0000-0000-0000E4000000}"/>
    <cellStyle name="Standard 2 3 5 4" xfId="339" xr:uid="{00000000-0005-0000-0000-0000E5000000}"/>
    <cellStyle name="Standard 2 3 6" xfId="87" xr:uid="{00000000-0005-0000-0000-0000E6000000}"/>
    <cellStyle name="Standard 2 3 6 2" xfId="232" xr:uid="{00000000-0005-0000-0000-0000E7000000}"/>
    <cellStyle name="Standard 2 3 6 2 2" xfId="514" xr:uid="{00000000-0005-0000-0000-0000E8000000}"/>
    <cellStyle name="Standard 2 3 6 3" xfId="374" xr:uid="{00000000-0005-0000-0000-0000E9000000}"/>
    <cellStyle name="Standard 2 3 7" xfId="161" xr:uid="{00000000-0005-0000-0000-0000EA000000}"/>
    <cellStyle name="Standard 2 3 7 2" xfId="444" xr:uid="{00000000-0005-0000-0000-0000EB000000}"/>
    <cellStyle name="Standard 2 3 8" xfId="303" xr:uid="{00000000-0005-0000-0000-0000EC000000}"/>
    <cellStyle name="Standard 2 4" xfId="12" xr:uid="{00000000-0005-0000-0000-0000ED000000}"/>
    <cellStyle name="Standard 2 4 2" xfId="37" xr:uid="{00000000-0005-0000-0000-0000EE000000}"/>
    <cellStyle name="Standard 2 4 2 2" xfId="73" xr:uid="{00000000-0005-0000-0000-0000EF000000}"/>
    <cellStyle name="Standard 2 4 2 2 2" xfId="150" xr:uid="{00000000-0005-0000-0000-0000F0000000}"/>
    <cellStyle name="Standard 2 4 2 2 2 2" xfId="292" xr:uid="{00000000-0005-0000-0000-0000F1000000}"/>
    <cellStyle name="Standard 2 4 2 2 2 2 2" xfId="574" xr:uid="{00000000-0005-0000-0000-0000F2000000}"/>
    <cellStyle name="Standard 2 4 2 2 2 3" xfId="434" xr:uid="{00000000-0005-0000-0000-0000F3000000}"/>
    <cellStyle name="Standard 2 4 2 2 3" xfId="222" xr:uid="{00000000-0005-0000-0000-0000F4000000}"/>
    <cellStyle name="Standard 2 4 2 2 3 2" xfId="504" xr:uid="{00000000-0005-0000-0000-0000F5000000}"/>
    <cellStyle name="Standard 2 4 2 2 4" xfId="364" xr:uid="{00000000-0005-0000-0000-0000F6000000}"/>
    <cellStyle name="Standard 2 4 2 3" xfId="114" xr:uid="{00000000-0005-0000-0000-0000F7000000}"/>
    <cellStyle name="Standard 2 4 2 3 2" xfId="257" xr:uid="{00000000-0005-0000-0000-0000F8000000}"/>
    <cellStyle name="Standard 2 4 2 3 2 2" xfId="539" xr:uid="{00000000-0005-0000-0000-0000F9000000}"/>
    <cellStyle name="Standard 2 4 2 3 3" xfId="399" xr:uid="{00000000-0005-0000-0000-0000FA000000}"/>
    <cellStyle name="Standard 2 4 2 4" xfId="186" xr:uid="{00000000-0005-0000-0000-0000FB000000}"/>
    <cellStyle name="Standard 2 4 2 4 2" xfId="469" xr:uid="{00000000-0005-0000-0000-0000FC000000}"/>
    <cellStyle name="Standard 2 4 2 5" xfId="328" xr:uid="{00000000-0005-0000-0000-0000FD000000}"/>
    <cellStyle name="Standard 2 4 3" xfId="24" xr:uid="{00000000-0005-0000-0000-0000FE000000}"/>
    <cellStyle name="Standard 2 4 3 2" xfId="61" xr:uid="{00000000-0005-0000-0000-0000FF000000}"/>
    <cellStyle name="Standard 2 4 3 2 2" xfId="138" xr:uid="{00000000-0005-0000-0000-000000010000}"/>
    <cellStyle name="Standard 2 4 3 2 2 2" xfId="280" xr:uid="{00000000-0005-0000-0000-000001010000}"/>
    <cellStyle name="Standard 2 4 3 2 2 2 2" xfId="562" xr:uid="{00000000-0005-0000-0000-000002010000}"/>
    <cellStyle name="Standard 2 4 3 2 2 3" xfId="422" xr:uid="{00000000-0005-0000-0000-000003010000}"/>
    <cellStyle name="Standard 2 4 3 2 3" xfId="210" xr:uid="{00000000-0005-0000-0000-000004010000}"/>
    <cellStyle name="Standard 2 4 3 2 3 2" xfId="492" xr:uid="{00000000-0005-0000-0000-000005010000}"/>
    <cellStyle name="Standard 2 4 3 2 4" xfId="352" xr:uid="{00000000-0005-0000-0000-000006010000}"/>
    <cellStyle name="Standard 2 4 3 3" xfId="102" xr:uid="{00000000-0005-0000-0000-000007010000}"/>
    <cellStyle name="Standard 2 4 3 3 2" xfId="245" xr:uid="{00000000-0005-0000-0000-000008010000}"/>
    <cellStyle name="Standard 2 4 3 3 2 2" xfId="527" xr:uid="{00000000-0005-0000-0000-000009010000}"/>
    <cellStyle name="Standard 2 4 3 3 3" xfId="387" xr:uid="{00000000-0005-0000-0000-00000A010000}"/>
    <cellStyle name="Standard 2 4 3 4" xfId="174" xr:uid="{00000000-0005-0000-0000-00000B010000}"/>
    <cellStyle name="Standard 2 4 3 4 2" xfId="457" xr:uid="{00000000-0005-0000-0000-00000C010000}"/>
    <cellStyle name="Standard 2 4 3 5" xfId="316" xr:uid="{00000000-0005-0000-0000-00000D010000}"/>
    <cellStyle name="Standard 2 4 4" xfId="50" xr:uid="{00000000-0005-0000-0000-00000E010000}"/>
    <cellStyle name="Standard 2 4 4 2" xfId="127" xr:uid="{00000000-0005-0000-0000-00000F010000}"/>
    <cellStyle name="Standard 2 4 4 2 2" xfId="269" xr:uid="{00000000-0005-0000-0000-000010010000}"/>
    <cellStyle name="Standard 2 4 4 2 2 2" xfId="551" xr:uid="{00000000-0005-0000-0000-000011010000}"/>
    <cellStyle name="Standard 2 4 4 2 3" xfId="411" xr:uid="{00000000-0005-0000-0000-000012010000}"/>
    <cellStyle name="Standard 2 4 4 3" xfId="199" xr:uid="{00000000-0005-0000-0000-000013010000}"/>
    <cellStyle name="Standard 2 4 4 3 2" xfId="481" xr:uid="{00000000-0005-0000-0000-000014010000}"/>
    <cellStyle name="Standard 2 4 4 4" xfId="341" xr:uid="{00000000-0005-0000-0000-000015010000}"/>
    <cellStyle name="Standard 2 4 5" xfId="90" xr:uid="{00000000-0005-0000-0000-000016010000}"/>
    <cellStyle name="Standard 2 4 5 2" xfId="234" xr:uid="{00000000-0005-0000-0000-000017010000}"/>
    <cellStyle name="Standard 2 4 5 2 2" xfId="516" xr:uid="{00000000-0005-0000-0000-000018010000}"/>
    <cellStyle name="Standard 2 4 5 3" xfId="376" xr:uid="{00000000-0005-0000-0000-000019010000}"/>
    <cellStyle name="Standard 2 4 6" xfId="163" xr:uid="{00000000-0005-0000-0000-00001A010000}"/>
    <cellStyle name="Standard 2 4 6 2" xfId="446" xr:uid="{00000000-0005-0000-0000-00001B010000}"/>
    <cellStyle name="Standard 2 4 7" xfId="305" xr:uid="{00000000-0005-0000-0000-00001C010000}"/>
    <cellStyle name="Standard 2 5" xfId="31" xr:uid="{00000000-0005-0000-0000-00001D010000}"/>
    <cellStyle name="Standard 2 5 2" xfId="67" xr:uid="{00000000-0005-0000-0000-00001E010000}"/>
    <cellStyle name="Standard 2 5 2 2" xfId="144" xr:uid="{00000000-0005-0000-0000-00001F010000}"/>
    <cellStyle name="Standard 2 5 2 2 2" xfId="286" xr:uid="{00000000-0005-0000-0000-000020010000}"/>
    <cellStyle name="Standard 2 5 2 2 2 2" xfId="568" xr:uid="{00000000-0005-0000-0000-000021010000}"/>
    <cellStyle name="Standard 2 5 2 2 3" xfId="428" xr:uid="{00000000-0005-0000-0000-000022010000}"/>
    <cellStyle name="Standard 2 5 2 3" xfId="216" xr:uid="{00000000-0005-0000-0000-000023010000}"/>
    <cellStyle name="Standard 2 5 2 3 2" xfId="498" xr:uid="{00000000-0005-0000-0000-000024010000}"/>
    <cellStyle name="Standard 2 5 2 4" xfId="358" xr:uid="{00000000-0005-0000-0000-000025010000}"/>
    <cellStyle name="Standard 2 5 3" xfId="108" xr:uid="{00000000-0005-0000-0000-000026010000}"/>
    <cellStyle name="Standard 2 5 3 2" xfId="251" xr:uid="{00000000-0005-0000-0000-000027010000}"/>
    <cellStyle name="Standard 2 5 3 2 2" xfId="533" xr:uid="{00000000-0005-0000-0000-000028010000}"/>
    <cellStyle name="Standard 2 5 3 3" xfId="393" xr:uid="{00000000-0005-0000-0000-000029010000}"/>
    <cellStyle name="Standard 2 5 4" xfId="180" xr:uid="{00000000-0005-0000-0000-00002A010000}"/>
    <cellStyle name="Standard 2 5 4 2" xfId="463" xr:uid="{00000000-0005-0000-0000-00002B010000}"/>
    <cellStyle name="Standard 2 5 5" xfId="322" xr:uid="{00000000-0005-0000-0000-00002C010000}"/>
    <cellStyle name="Standard 2 6" xfId="18" xr:uid="{00000000-0005-0000-0000-00002D010000}"/>
    <cellStyle name="Standard 2 6 2" xfId="55" xr:uid="{00000000-0005-0000-0000-00002E010000}"/>
    <cellStyle name="Standard 2 6 2 2" xfId="132" xr:uid="{00000000-0005-0000-0000-00002F010000}"/>
    <cellStyle name="Standard 2 6 2 2 2" xfId="274" xr:uid="{00000000-0005-0000-0000-000030010000}"/>
    <cellStyle name="Standard 2 6 2 2 2 2" xfId="556" xr:uid="{00000000-0005-0000-0000-000031010000}"/>
    <cellStyle name="Standard 2 6 2 2 3" xfId="416" xr:uid="{00000000-0005-0000-0000-000032010000}"/>
    <cellStyle name="Standard 2 6 2 3" xfId="204" xr:uid="{00000000-0005-0000-0000-000033010000}"/>
    <cellStyle name="Standard 2 6 2 3 2" xfId="486" xr:uid="{00000000-0005-0000-0000-000034010000}"/>
    <cellStyle name="Standard 2 6 2 4" xfId="346" xr:uid="{00000000-0005-0000-0000-000035010000}"/>
    <cellStyle name="Standard 2 6 3" xfId="96" xr:uid="{00000000-0005-0000-0000-000036010000}"/>
    <cellStyle name="Standard 2 6 3 2" xfId="239" xr:uid="{00000000-0005-0000-0000-000037010000}"/>
    <cellStyle name="Standard 2 6 3 2 2" xfId="521" xr:uid="{00000000-0005-0000-0000-000038010000}"/>
    <cellStyle name="Standard 2 6 3 3" xfId="381" xr:uid="{00000000-0005-0000-0000-000039010000}"/>
    <cellStyle name="Standard 2 6 4" xfId="168" xr:uid="{00000000-0005-0000-0000-00003A010000}"/>
    <cellStyle name="Standard 2 6 4 2" xfId="451" xr:uid="{00000000-0005-0000-0000-00003B010000}"/>
    <cellStyle name="Standard 2 6 5" xfId="310" xr:uid="{00000000-0005-0000-0000-00003C010000}"/>
    <cellStyle name="Standard 2 7" xfId="44" xr:uid="{00000000-0005-0000-0000-00003D010000}"/>
    <cellStyle name="Standard 2 7 2" xfId="121" xr:uid="{00000000-0005-0000-0000-00003E010000}"/>
    <cellStyle name="Standard 2 7 2 2" xfId="263" xr:uid="{00000000-0005-0000-0000-00003F010000}"/>
    <cellStyle name="Standard 2 7 2 2 2" xfId="545" xr:uid="{00000000-0005-0000-0000-000040010000}"/>
    <cellStyle name="Standard 2 7 2 3" xfId="405" xr:uid="{00000000-0005-0000-0000-000041010000}"/>
    <cellStyle name="Standard 2 7 3" xfId="193" xr:uid="{00000000-0005-0000-0000-000042010000}"/>
    <cellStyle name="Standard 2 7 3 2" xfId="475" xr:uid="{00000000-0005-0000-0000-000043010000}"/>
    <cellStyle name="Standard 2 7 4" xfId="335" xr:uid="{00000000-0005-0000-0000-000044010000}"/>
    <cellStyle name="Standard 2 8" xfId="82" xr:uid="{00000000-0005-0000-0000-000045010000}"/>
    <cellStyle name="Standard 2 8 2" xfId="228" xr:uid="{00000000-0005-0000-0000-000046010000}"/>
    <cellStyle name="Standard 2 8 2 2" xfId="510" xr:uid="{00000000-0005-0000-0000-000047010000}"/>
    <cellStyle name="Standard 2 8 3" xfId="370" xr:uid="{00000000-0005-0000-0000-000048010000}"/>
    <cellStyle name="Standard 2 9" xfId="157" xr:uid="{00000000-0005-0000-0000-000049010000}"/>
    <cellStyle name="Standard 2 9 2" xfId="440" xr:uid="{00000000-0005-0000-0000-00004A010000}"/>
    <cellStyle name="Standard 3" xfId="4" xr:uid="{00000000-0005-0000-0000-00004B010000}"/>
    <cellStyle name="Standard 3 2" xfId="83" xr:uid="{00000000-0005-0000-0000-00004C010000}"/>
    <cellStyle name="Standard 4" xfId="6" xr:uid="{00000000-0005-0000-0000-00004D010000}"/>
    <cellStyle name="Standard 4 2" xfId="14" xr:uid="{00000000-0005-0000-0000-00004E010000}"/>
    <cellStyle name="Standard 4 2 2" xfId="92" xr:uid="{00000000-0005-0000-0000-00004F010000}"/>
    <cellStyle name="Standard 5" xfId="5" xr:uid="{00000000-0005-0000-0000-000050010000}"/>
    <cellStyle name="Standard 5 2" xfId="13" xr:uid="{00000000-0005-0000-0000-000051010000}"/>
    <cellStyle name="Standard 5 2 2" xfId="38" xr:uid="{00000000-0005-0000-0000-000052010000}"/>
    <cellStyle name="Standard 5 2 2 2" xfId="74" xr:uid="{00000000-0005-0000-0000-000053010000}"/>
    <cellStyle name="Standard 5 2 2 2 2" xfId="151" xr:uid="{00000000-0005-0000-0000-000054010000}"/>
    <cellStyle name="Standard 5 2 2 2 2 2" xfId="293" xr:uid="{00000000-0005-0000-0000-000055010000}"/>
    <cellStyle name="Standard 5 2 2 2 2 2 2" xfId="575" xr:uid="{00000000-0005-0000-0000-000056010000}"/>
    <cellStyle name="Standard 5 2 2 2 2 3" xfId="435" xr:uid="{00000000-0005-0000-0000-000057010000}"/>
    <cellStyle name="Standard 5 2 2 2 3" xfId="223" xr:uid="{00000000-0005-0000-0000-000058010000}"/>
    <cellStyle name="Standard 5 2 2 2 3 2" xfId="505" xr:uid="{00000000-0005-0000-0000-000059010000}"/>
    <cellStyle name="Standard 5 2 2 2 4" xfId="365" xr:uid="{00000000-0005-0000-0000-00005A010000}"/>
    <cellStyle name="Standard 5 2 2 3" xfId="115" xr:uid="{00000000-0005-0000-0000-00005B010000}"/>
    <cellStyle name="Standard 5 2 2 3 2" xfId="258" xr:uid="{00000000-0005-0000-0000-00005C010000}"/>
    <cellStyle name="Standard 5 2 2 3 2 2" xfId="540" xr:uid="{00000000-0005-0000-0000-00005D010000}"/>
    <cellStyle name="Standard 5 2 2 3 3" xfId="400" xr:uid="{00000000-0005-0000-0000-00005E010000}"/>
    <cellStyle name="Standard 5 2 2 4" xfId="187" xr:uid="{00000000-0005-0000-0000-00005F010000}"/>
    <cellStyle name="Standard 5 2 2 4 2" xfId="470" xr:uid="{00000000-0005-0000-0000-000060010000}"/>
    <cellStyle name="Standard 5 2 2 5" xfId="329" xr:uid="{00000000-0005-0000-0000-000061010000}"/>
    <cellStyle name="Standard 5 2 3" xfId="25" xr:uid="{00000000-0005-0000-0000-000062010000}"/>
    <cellStyle name="Standard 5 2 3 2" xfId="62" xr:uid="{00000000-0005-0000-0000-000063010000}"/>
    <cellStyle name="Standard 5 2 3 2 2" xfId="139" xr:uid="{00000000-0005-0000-0000-000064010000}"/>
    <cellStyle name="Standard 5 2 3 2 2 2" xfId="281" xr:uid="{00000000-0005-0000-0000-000065010000}"/>
    <cellStyle name="Standard 5 2 3 2 2 2 2" xfId="563" xr:uid="{00000000-0005-0000-0000-000066010000}"/>
    <cellStyle name="Standard 5 2 3 2 2 3" xfId="423" xr:uid="{00000000-0005-0000-0000-000067010000}"/>
    <cellStyle name="Standard 5 2 3 2 3" xfId="211" xr:uid="{00000000-0005-0000-0000-000068010000}"/>
    <cellStyle name="Standard 5 2 3 2 3 2" xfId="493" xr:uid="{00000000-0005-0000-0000-000069010000}"/>
    <cellStyle name="Standard 5 2 3 2 4" xfId="353" xr:uid="{00000000-0005-0000-0000-00006A010000}"/>
    <cellStyle name="Standard 5 2 3 3" xfId="103" xr:uid="{00000000-0005-0000-0000-00006B010000}"/>
    <cellStyle name="Standard 5 2 3 3 2" xfId="246" xr:uid="{00000000-0005-0000-0000-00006C010000}"/>
    <cellStyle name="Standard 5 2 3 3 2 2" xfId="528" xr:uid="{00000000-0005-0000-0000-00006D010000}"/>
    <cellStyle name="Standard 5 2 3 3 3" xfId="388" xr:uid="{00000000-0005-0000-0000-00006E010000}"/>
    <cellStyle name="Standard 5 2 3 4" xfId="175" xr:uid="{00000000-0005-0000-0000-00006F010000}"/>
    <cellStyle name="Standard 5 2 3 4 2" xfId="458" xr:uid="{00000000-0005-0000-0000-000070010000}"/>
    <cellStyle name="Standard 5 2 3 5" xfId="317" xr:uid="{00000000-0005-0000-0000-000071010000}"/>
    <cellStyle name="Standard 5 2 4" xfId="51" xr:uid="{00000000-0005-0000-0000-000072010000}"/>
    <cellStyle name="Standard 5 2 4 2" xfId="128" xr:uid="{00000000-0005-0000-0000-000073010000}"/>
    <cellStyle name="Standard 5 2 4 2 2" xfId="270" xr:uid="{00000000-0005-0000-0000-000074010000}"/>
    <cellStyle name="Standard 5 2 4 2 2 2" xfId="552" xr:uid="{00000000-0005-0000-0000-000075010000}"/>
    <cellStyle name="Standard 5 2 4 2 3" xfId="412" xr:uid="{00000000-0005-0000-0000-000076010000}"/>
    <cellStyle name="Standard 5 2 4 3" xfId="200" xr:uid="{00000000-0005-0000-0000-000077010000}"/>
    <cellStyle name="Standard 5 2 4 3 2" xfId="482" xr:uid="{00000000-0005-0000-0000-000078010000}"/>
    <cellStyle name="Standard 5 2 4 4" xfId="342" xr:uid="{00000000-0005-0000-0000-000079010000}"/>
    <cellStyle name="Standard 5 2 5" xfId="91" xr:uid="{00000000-0005-0000-0000-00007A010000}"/>
    <cellStyle name="Standard 5 2 5 2" xfId="235" xr:uid="{00000000-0005-0000-0000-00007B010000}"/>
    <cellStyle name="Standard 5 2 5 2 2" xfId="517" xr:uid="{00000000-0005-0000-0000-00007C010000}"/>
    <cellStyle name="Standard 5 2 5 3" xfId="377" xr:uid="{00000000-0005-0000-0000-00007D010000}"/>
    <cellStyle name="Standard 5 2 6" xfId="164" xr:uid="{00000000-0005-0000-0000-00007E010000}"/>
    <cellStyle name="Standard 5 2 6 2" xfId="447" xr:uid="{00000000-0005-0000-0000-00007F010000}"/>
    <cellStyle name="Standard 5 2 7" xfId="306" xr:uid="{00000000-0005-0000-0000-000080010000}"/>
    <cellStyle name="Standard 5 3" xfId="32" xr:uid="{00000000-0005-0000-0000-000081010000}"/>
    <cellStyle name="Standard 5 3 2" xfId="68" xr:uid="{00000000-0005-0000-0000-000082010000}"/>
    <cellStyle name="Standard 5 3 2 2" xfId="145" xr:uid="{00000000-0005-0000-0000-000083010000}"/>
    <cellStyle name="Standard 5 3 2 2 2" xfId="287" xr:uid="{00000000-0005-0000-0000-000084010000}"/>
    <cellStyle name="Standard 5 3 2 2 2 2" xfId="569" xr:uid="{00000000-0005-0000-0000-000085010000}"/>
    <cellStyle name="Standard 5 3 2 2 3" xfId="429" xr:uid="{00000000-0005-0000-0000-000086010000}"/>
    <cellStyle name="Standard 5 3 2 3" xfId="217" xr:uid="{00000000-0005-0000-0000-000087010000}"/>
    <cellStyle name="Standard 5 3 2 3 2" xfId="499" xr:uid="{00000000-0005-0000-0000-000088010000}"/>
    <cellStyle name="Standard 5 3 2 4" xfId="359" xr:uid="{00000000-0005-0000-0000-000089010000}"/>
    <cellStyle name="Standard 5 3 3" xfId="109" xr:uid="{00000000-0005-0000-0000-00008A010000}"/>
    <cellStyle name="Standard 5 3 3 2" xfId="252" xr:uid="{00000000-0005-0000-0000-00008B010000}"/>
    <cellStyle name="Standard 5 3 3 2 2" xfId="534" xr:uid="{00000000-0005-0000-0000-00008C010000}"/>
    <cellStyle name="Standard 5 3 3 3" xfId="394" xr:uid="{00000000-0005-0000-0000-00008D010000}"/>
    <cellStyle name="Standard 5 3 4" xfId="181" xr:uid="{00000000-0005-0000-0000-00008E010000}"/>
    <cellStyle name="Standard 5 3 4 2" xfId="464" xr:uid="{00000000-0005-0000-0000-00008F010000}"/>
    <cellStyle name="Standard 5 3 5" xfId="323" xr:uid="{00000000-0005-0000-0000-000090010000}"/>
    <cellStyle name="Standard 5 4" xfId="19" xr:uid="{00000000-0005-0000-0000-000091010000}"/>
    <cellStyle name="Standard 5 4 2" xfId="56" xr:uid="{00000000-0005-0000-0000-000092010000}"/>
    <cellStyle name="Standard 5 4 2 2" xfId="133" xr:uid="{00000000-0005-0000-0000-000093010000}"/>
    <cellStyle name="Standard 5 4 2 2 2" xfId="275" xr:uid="{00000000-0005-0000-0000-000094010000}"/>
    <cellStyle name="Standard 5 4 2 2 2 2" xfId="557" xr:uid="{00000000-0005-0000-0000-000095010000}"/>
    <cellStyle name="Standard 5 4 2 2 3" xfId="417" xr:uid="{00000000-0005-0000-0000-000096010000}"/>
    <cellStyle name="Standard 5 4 2 3" xfId="205" xr:uid="{00000000-0005-0000-0000-000097010000}"/>
    <cellStyle name="Standard 5 4 2 3 2" xfId="487" xr:uid="{00000000-0005-0000-0000-000098010000}"/>
    <cellStyle name="Standard 5 4 2 4" xfId="347" xr:uid="{00000000-0005-0000-0000-000099010000}"/>
    <cellStyle name="Standard 5 4 3" xfId="97" xr:uid="{00000000-0005-0000-0000-00009A010000}"/>
    <cellStyle name="Standard 5 4 3 2" xfId="240" xr:uid="{00000000-0005-0000-0000-00009B010000}"/>
    <cellStyle name="Standard 5 4 3 2 2" xfId="522" xr:uid="{00000000-0005-0000-0000-00009C010000}"/>
    <cellStyle name="Standard 5 4 3 3" xfId="382" xr:uid="{00000000-0005-0000-0000-00009D010000}"/>
    <cellStyle name="Standard 5 4 4" xfId="169" xr:uid="{00000000-0005-0000-0000-00009E010000}"/>
    <cellStyle name="Standard 5 4 4 2" xfId="452" xr:uid="{00000000-0005-0000-0000-00009F010000}"/>
    <cellStyle name="Standard 5 4 5" xfId="311" xr:uid="{00000000-0005-0000-0000-0000A0010000}"/>
    <cellStyle name="Standard 5 5" xfId="45" xr:uid="{00000000-0005-0000-0000-0000A1010000}"/>
    <cellStyle name="Standard 5 5 2" xfId="122" xr:uid="{00000000-0005-0000-0000-0000A2010000}"/>
    <cellStyle name="Standard 5 5 2 2" xfId="264" xr:uid="{00000000-0005-0000-0000-0000A3010000}"/>
    <cellStyle name="Standard 5 5 2 2 2" xfId="546" xr:uid="{00000000-0005-0000-0000-0000A4010000}"/>
    <cellStyle name="Standard 5 5 2 3" xfId="406" xr:uid="{00000000-0005-0000-0000-0000A5010000}"/>
    <cellStyle name="Standard 5 5 3" xfId="194" xr:uid="{00000000-0005-0000-0000-0000A6010000}"/>
    <cellStyle name="Standard 5 5 3 2" xfId="476" xr:uid="{00000000-0005-0000-0000-0000A7010000}"/>
    <cellStyle name="Standard 5 5 4" xfId="336" xr:uid="{00000000-0005-0000-0000-0000A8010000}"/>
    <cellStyle name="Standard 5 6" xfId="84" xr:uid="{00000000-0005-0000-0000-0000A9010000}"/>
    <cellStyle name="Standard 5 6 2" xfId="229" xr:uid="{00000000-0005-0000-0000-0000AA010000}"/>
    <cellStyle name="Standard 5 6 2 2" xfId="511" xr:uid="{00000000-0005-0000-0000-0000AB010000}"/>
    <cellStyle name="Standard 5 6 3" xfId="371" xr:uid="{00000000-0005-0000-0000-0000AC010000}"/>
    <cellStyle name="Standard 5 7" xfId="158" xr:uid="{00000000-0005-0000-0000-0000AD010000}"/>
    <cellStyle name="Standard 5 7 2" xfId="441" xr:uid="{00000000-0005-0000-0000-0000AE010000}"/>
    <cellStyle name="Standard 5 8" xfId="300" xr:uid="{00000000-0005-0000-0000-0000AF010000}"/>
    <cellStyle name="Standard 6" xfId="8" xr:uid="{00000000-0005-0000-0000-0000B0010000}"/>
    <cellStyle name="Standard 6 2" xfId="16" xr:uid="{00000000-0005-0000-0000-0000B1010000}"/>
    <cellStyle name="Standard 6 2 2" xfId="40" xr:uid="{00000000-0005-0000-0000-0000B2010000}"/>
    <cellStyle name="Standard 6 2 2 2" xfId="76" xr:uid="{00000000-0005-0000-0000-0000B3010000}"/>
    <cellStyle name="Standard 6 2 2 2 2" xfId="153" xr:uid="{00000000-0005-0000-0000-0000B4010000}"/>
    <cellStyle name="Standard 6 2 2 2 2 2" xfId="295" xr:uid="{00000000-0005-0000-0000-0000B5010000}"/>
    <cellStyle name="Standard 6 2 2 2 2 2 2" xfId="577" xr:uid="{00000000-0005-0000-0000-0000B6010000}"/>
    <cellStyle name="Standard 6 2 2 2 2 3" xfId="437" xr:uid="{00000000-0005-0000-0000-0000B7010000}"/>
    <cellStyle name="Standard 6 2 2 2 3" xfId="225" xr:uid="{00000000-0005-0000-0000-0000B8010000}"/>
    <cellStyle name="Standard 6 2 2 2 3 2" xfId="507" xr:uid="{00000000-0005-0000-0000-0000B9010000}"/>
    <cellStyle name="Standard 6 2 2 2 4" xfId="367" xr:uid="{00000000-0005-0000-0000-0000BA010000}"/>
    <cellStyle name="Standard 6 2 2 3" xfId="117" xr:uid="{00000000-0005-0000-0000-0000BB010000}"/>
    <cellStyle name="Standard 6 2 2 3 2" xfId="260" xr:uid="{00000000-0005-0000-0000-0000BC010000}"/>
    <cellStyle name="Standard 6 2 2 3 2 2" xfId="542" xr:uid="{00000000-0005-0000-0000-0000BD010000}"/>
    <cellStyle name="Standard 6 2 2 3 3" xfId="402" xr:uid="{00000000-0005-0000-0000-0000BE010000}"/>
    <cellStyle name="Standard 6 2 2 4" xfId="189" xr:uid="{00000000-0005-0000-0000-0000BF010000}"/>
    <cellStyle name="Standard 6 2 2 4 2" xfId="472" xr:uid="{00000000-0005-0000-0000-0000C0010000}"/>
    <cellStyle name="Standard 6 2 2 5" xfId="331" xr:uid="{00000000-0005-0000-0000-0000C1010000}"/>
    <cellStyle name="Standard 6 2 3" xfId="27" xr:uid="{00000000-0005-0000-0000-0000C2010000}"/>
    <cellStyle name="Standard 6 2 3 2" xfId="64" xr:uid="{00000000-0005-0000-0000-0000C3010000}"/>
    <cellStyle name="Standard 6 2 3 2 2" xfId="141" xr:uid="{00000000-0005-0000-0000-0000C4010000}"/>
    <cellStyle name="Standard 6 2 3 2 2 2" xfId="283" xr:uid="{00000000-0005-0000-0000-0000C5010000}"/>
    <cellStyle name="Standard 6 2 3 2 2 2 2" xfId="565" xr:uid="{00000000-0005-0000-0000-0000C6010000}"/>
    <cellStyle name="Standard 6 2 3 2 2 3" xfId="425" xr:uid="{00000000-0005-0000-0000-0000C7010000}"/>
    <cellStyle name="Standard 6 2 3 2 3" xfId="213" xr:uid="{00000000-0005-0000-0000-0000C8010000}"/>
    <cellStyle name="Standard 6 2 3 2 3 2" xfId="495" xr:uid="{00000000-0005-0000-0000-0000C9010000}"/>
    <cellStyle name="Standard 6 2 3 2 4" xfId="355" xr:uid="{00000000-0005-0000-0000-0000CA010000}"/>
    <cellStyle name="Standard 6 2 3 3" xfId="105" xr:uid="{00000000-0005-0000-0000-0000CB010000}"/>
    <cellStyle name="Standard 6 2 3 3 2" xfId="248" xr:uid="{00000000-0005-0000-0000-0000CC010000}"/>
    <cellStyle name="Standard 6 2 3 3 2 2" xfId="530" xr:uid="{00000000-0005-0000-0000-0000CD010000}"/>
    <cellStyle name="Standard 6 2 3 3 3" xfId="390" xr:uid="{00000000-0005-0000-0000-0000CE010000}"/>
    <cellStyle name="Standard 6 2 3 4" xfId="177" xr:uid="{00000000-0005-0000-0000-0000CF010000}"/>
    <cellStyle name="Standard 6 2 3 4 2" xfId="460" xr:uid="{00000000-0005-0000-0000-0000D0010000}"/>
    <cellStyle name="Standard 6 2 3 5" xfId="319" xr:uid="{00000000-0005-0000-0000-0000D1010000}"/>
    <cellStyle name="Standard 6 2 4" xfId="53" xr:uid="{00000000-0005-0000-0000-0000D2010000}"/>
    <cellStyle name="Standard 6 2 4 2" xfId="130" xr:uid="{00000000-0005-0000-0000-0000D3010000}"/>
    <cellStyle name="Standard 6 2 4 2 2" xfId="272" xr:uid="{00000000-0005-0000-0000-0000D4010000}"/>
    <cellStyle name="Standard 6 2 4 2 2 2" xfId="554" xr:uid="{00000000-0005-0000-0000-0000D5010000}"/>
    <cellStyle name="Standard 6 2 4 2 3" xfId="414" xr:uid="{00000000-0005-0000-0000-0000D6010000}"/>
    <cellStyle name="Standard 6 2 4 3" xfId="202" xr:uid="{00000000-0005-0000-0000-0000D7010000}"/>
    <cellStyle name="Standard 6 2 4 3 2" xfId="484" xr:uid="{00000000-0005-0000-0000-0000D8010000}"/>
    <cellStyle name="Standard 6 2 4 4" xfId="344" xr:uid="{00000000-0005-0000-0000-0000D9010000}"/>
    <cellStyle name="Standard 6 2 5" xfId="94" xr:uid="{00000000-0005-0000-0000-0000DA010000}"/>
    <cellStyle name="Standard 6 2 5 2" xfId="237" xr:uid="{00000000-0005-0000-0000-0000DB010000}"/>
    <cellStyle name="Standard 6 2 5 2 2" xfId="519" xr:uid="{00000000-0005-0000-0000-0000DC010000}"/>
    <cellStyle name="Standard 6 2 5 3" xfId="379" xr:uid="{00000000-0005-0000-0000-0000DD010000}"/>
    <cellStyle name="Standard 6 2 6" xfId="166" xr:uid="{00000000-0005-0000-0000-0000DE010000}"/>
    <cellStyle name="Standard 6 2 6 2" xfId="449" xr:uid="{00000000-0005-0000-0000-0000DF010000}"/>
    <cellStyle name="Standard 6 2 7" xfId="308" xr:uid="{00000000-0005-0000-0000-0000E0010000}"/>
    <cellStyle name="Standard 6 3" xfId="34" xr:uid="{00000000-0005-0000-0000-0000E1010000}"/>
    <cellStyle name="Standard 6 3 2" xfId="70" xr:uid="{00000000-0005-0000-0000-0000E2010000}"/>
    <cellStyle name="Standard 6 3 2 2" xfId="147" xr:uid="{00000000-0005-0000-0000-0000E3010000}"/>
    <cellStyle name="Standard 6 3 2 2 2" xfId="289" xr:uid="{00000000-0005-0000-0000-0000E4010000}"/>
    <cellStyle name="Standard 6 3 2 2 2 2" xfId="571" xr:uid="{00000000-0005-0000-0000-0000E5010000}"/>
    <cellStyle name="Standard 6 3 2 2 3" xfId="431" xr:uid="{00000000-0005-0000-0000-0000E6010000}"/>
    <cellStyle name="Standard 6 3 2 3" xfId="219" xr:uid="{00000000-0005-0000-0000-0000E7010000}"/>
    <cellStyle name="Standard 6 3 2 3 2" xfId="501" xr:uid="{00000000-0005-0000-0000-0000E8010000}"/>
    <cellStyle name="Standard 6 3 2 4" xfId="361" xr:uid="{00000000-0005-0000-0000-0000E9010000}"/>
    <cellStyle name="Standard 6 3 3" xfId="111" xr:uid="{00000000-0005-0000-0000-0000EA010000}"/>
    <cellStyle name="Standard 6 3 3 2" xfId="254" xr:uid="{00000000-0005-0000-0000-0000EB010000}"/>
    <cellStyle name="Standard 6 3 3 2 2" xfId="536" xr:uid="{00000000-0005-0000-0000-0000EC010000}"/>
    <cellStyle name="Standard 6 3 3 3" xfId="396" xr:uid="{00000000-0005-0000-0000-0000ED010000}"/>
    <cellStyle name="Standard 6 3 4" xfId="183" xr:uid="{00000000-0005-0000-0000-0000EE010000}"/>
    <cellStyle name="Standard 6 3 4 2" xfId="466" xr:uid="{00000000-0005-0000-0000-0000EF010000}"/>
    <cellStyle name="Standard 6 3 5" xfId="325" xr:uid="{00000000-0005-0000-0000-0000F0010000}"/>
    <cellStyle name="Standard 6 4" xfId="21" xr:uid="{00000000-0005-0000-0000-0000F1010000}"/>
    <cellStyle name="Standard 6 4 2" xfId="58" xr:uid="{00000000-0005-0000-0000-0000F2010000}"/>
    <cellStyle name="Standard 6 4 2 2" xfId="135" xr:uid="{00000000-0005-0000-0000-0000F3010000}"/>
    <cellStyle name="Standard 6 4 2 2 2" xfId="277" xr:uid="{00000000-0005-0000-0000-0000F4010000}"/>
    <cellStyle name="Standard 6 4 2 2 2 2" xfId="559" xr:uid="{00000000-0005-0000-0000-0000F5010000}"/>
    <cellStyle name="Standard 6 4 2 2 3" xfId="419" xr:uid="{00000000-0005-0000-0000-0000F6010000}"/>
    <cellStyle name="Standard 6 4 2 3" xfId="207" xr:uid="{00000000-0005-0000-0000-0000F7010000}"/>
    <cellStyle name="Standard 6 4 2 3 2" xfId="489" xr:uid="{00000000-0005-0000-0000-0000F8010000}"/>
    <cellStyle name="Standard 6 4 2 4" xfId="349" xr:uid="{00000000-0005-0000-0000-0000F9010000}"/>
    <cellStyle name="Standard 6 4 3" xfId="99" xr:uid="{00000000-0005-0000-0000-0000FA010000}"/>
    <cellStyle name="Standard 6 4 3 2" xfId="242" xr:uid="{00000000-0005-0000-0000-0000FB010000}"/>
    <cellStyle name="Standard 6 4 3 2 2" xfId="524" xr:uid="{00000000-0005-0000-0000-0000FC010000}"/>
    <cellStyle name="Standard 6 4 3 3" xfId="384" xr:uid="{00000000-0005-0000-0000-0000FD010000}"/>
    <cellStyle name="Standard 6 4 4" xfId="171" xr:uid="{00000000-0005-0000-0000-0000FE010000}"/>
    <cellStyle name="Standard 6 4 4 2" xfId="454" xr:uid="{00000000-0005-0000-0000-0000FF010000}"/>
    <cellStyle name="Standard 6 4 5" xfId="313" xr:uid="{00000000-0005-0000-0000-000000020000}"/>
    <cellStyle name="Standard 6 5" xfId="47" xr:uid="{00000000-0005-0000-0000-000001020000}"/>
    <cellStyle name="Standard 6 5 2" xfId="124" xr:uid="{00000000-0005-0000-0000-000002020000}"/>
    <cellStyle name="Standard 6 5 2 2" xfId="266" xr:uid="{00000000-0005-0000-0000-000003020000}"/>
    <cellStyle name="Standard 6 5 2 2 2" xfId="548" xr:uid="{00000000-0005-0000-0000-000004020000}"/>
    <cellStyle name="Standard 6 5 2 3" xfId="408" xr:uid="{00000000-0005-0000-0000-000005020000}"/>
    <cellStyle name="Standard 6 5 3" xfId="196" xr:uid="{00000000-0005-0000-0000-000006020000}"/>
    <cellStyle name="Standard 6 5 3 2" xfId="478" xr:uid="{00000000-0005-0000-0000-000007020000}"/>
    <cellStyle name="Standard 6 5 4" xfId="338" xr:uid="{00000000-0005-0000-0000-000008020000}"/>
    <cellStyle name="Standard 6 6" xfId="86" xr:uid="{00000000-0005-0000-0000-000009020000}"/>
    <cellStyle name="Standard 6 6 2" xfId="231" xr:uid="{00000000-0005-0000-0000-00000A020000}"/>
    <cellStyle name="Standard 6 6 2 2" xfId="513" xr:uid="{00000000-0005-0000-0000-00000B020000}"/>
    <cellStyle name="Standard 6 6 3" xfId="373" xr:uid="{00000000-0005-0000-0000-00000C020000}"/>
    <cellStyle name="Standard 6 7" xfId="160" xr:uid="{00000000-0005-0000-0000-00000D020000}"/>
    <cellStyle name="Standard 6 7 2" xfId="443" xr:uid="{00000000-0005-0000-0000-00000E020000}"/>
    <cellStyle name="Standard 6 8" xfId="302" xr:uid="{00000000-0005-0000-0000-00000F020000}"/>
    <cellStyle name="Standard 7" xfId="11" xr:uid="{00000000-0005-0000-0000-000010020000}"/>
    <cellStyle name="Standard 7 2" xfId="89" xr:uid="{00000000-0005-0000-0000-000011020000}"/>
    <cellStyle name="Standard 8" xfId="10" xr:uid="{00000000-0005-0000-0000-000012020000}"/>
    <cellStyle name="Standard 8 2" xfId="36" xr:uid="{00000000-0005-0000-0000-000013020000}"/>
    <cellStyle name="Standard 8 2 2" xfId="72" xr:uid="{00000000-0005-0000-0000-000014020000}"/>
    <cellStyle name="Standard 8 2 2 2" xfId="149" xr:uid="{00000000-0005-0000-0000-000015020000}"/>
    <cellStyle name="Standard 8 2 2 2 2" xfId="291" xr:uid="{00000000-0005-0000-0000-000016020000}"/>
    <cellStyle name="Standard 8 2 2 2 2 2" xfId="573" xr:uid="{00000000-0005-0000-0000-000017020000}"/>
    <cellStyle name="Standard 8 2 2 2 3" xfId="433" xr:uid="{00000000-0005-0000-0000-000018020000}"/>
    <cellStyle name="Standard 8 2 2 3" xfId="221" xr:uid="{00000000-0005-0000-0000-000019020000}"/>
    <cellStyle name="Standard 8 2 2 3 2" xfId="503" xr:uid="{00000000-0005-0000-0000-00001A020000}"/>
    <cellStyle name="Standard 8 2 2 4" xfId="363" xr:uid="{00000000-0005-0000-0000-00001B020000}"/>
    <cellStyle name="Standard 8 2 3" xfId="113" xr:uid="{00000000-0005-0000-0000-00001C020000}"/>
    <cellStyle name="Standard 8 2 3 2" xfId="256" xr:uid="{00000000-0005-0000-0000-00001D020000}"/>
    <cellStyle name="Standard 8 2 3 2 2" xfId="538" xr:uid="{00000000-0005-0000-0000-00001E020000}"/>
    <cellStyle name="Standard 8 2 3 3" xfId="398" xr:uid="{00000000-0005-0000-0000-00001F020000}"/>
    <cellStyle name="Standard 8 2 4" xfId="185" xr:uid="{00000000-0005-0000-0000-000020020000}"/>
    <cellStyle name="Standard 8 2 4 2" xfId="468" xr:uid="{00000000-0005-0000-0000-000021020000}"/>
    <cellStyle name="Standard 8 2 5" xfId="327" xr:uid="{00000000-0005-0000-0000-000022020000}"/>
    <cellStyle name="Standard 8 3" xfId="23" xr:uid="{00000000-0005-0000-0000-000023020000}"/>
    <cellStyle name="Standard 8 3 2" xfId="60" xr:uid="{00000000-0005-0000-0000-000024020000}"/>
    <cellStyle name="Standard 8 3 2 2" xfId="137" xr:uid="{00000000-0005-0000-0000-000025020000}"/>
    <cellStyle name="Standard 8 3 2 2 2" xfId="279" xr:uid="{00000000-0005-0000-0000-000026020000}"/>
    <cellStyle name="Standard 8 3 2 2 2 2" xfId="561" xr:uid="{00000000-0005-0000-0000-000027020000}"/>
    <cellStyle name="Standard 8 3 2 2 3" xfId="421" xr:uid="{00000000-0005-0000-0000-000028020000}"/>
    <cellStyle name="Standard 8 3 2 3" xfId="209" xr:uid="{00000000-0005-0000-0000-000029020000}"/>
    <cellStyle name="Standard 8 3 2 3 2" xfId="491" xr:uid="{00000000-0005-0000-0000-00002A020000}"/>
    <cellStyle name="Standard 8 3 2 4" xfId="351" xr:uid="{00000000-0005-0000-0000-00002B020000}"/>
    <cellStyle name="Standard 8 3 3" xfId="101" xr:uid="{00000000-0005-0000-0000-00002C020000}"/>
    <cellStyle name="Standard 8 3 3 2" xfId="244" xr:uid="{00000000-0005-0000-0000-00002D020000}"/>
    <cellStyle name="Standard 8 3 3 2 2" xfId="526" xr:uid="{00000000-0005-0000-0000-00002E020000}"/>
    <cellStyle name="Standard 8 3 3 3" xfId="386" xr:uid="{00000000-0005-0000-0000-00002F020000}"/>
    <cellStyle name="Standard 8 3 4" xfId="173" xr:uid="{00000000-0005-0000-0000-000030020000}"/>
    <cellStyle name="Standard 8 3 4 2" xfId="456" xr:uid="{00000000-0005-0000-0000-000031020000}"/>
    <cellStyle name="Standard 8 3 5" xfId="315" xr:uid="{00000000-0005-0000-0000-000032020000}"/>
    <cellStyle name="Standard 8 4" xfId="49" xr:uid="{00000000-0005-0000-0000-000033020000}"/>
    <cellStyle name="Standard 8 4 2" xfId="126" xr:uid="{00000000-0005-0000-0000-000034020000}"/>
    <cellStyle name="Standard 8 4 2 2" xfId="268" xr:uid="{00000000-0005-0000-0000-000035020000}"/>
    <cellStyle name="Standard 8 4 2 2 2" xfId="550" xr:uid="{00000000-0005-0000-0000-000036020000}"/>
    <cellStyle name="Standard 8 4 2 3" xfId="410" xr:uid="{00000000-0005-0000-0000-000037020000}"/>
    <cellStyle name="Standard 8 4 3" xfId="198" xr:uid="{00000000-0005-0000-0000-000038020000}"/>
    <cellStyle name="Standard 8 4 3 2" xfId="480" xr:uid="{00000000-0005-0000-0000-000039020000}"/>
    <cellStyle name="Standard 8 4 4" xfId="340" xr:uid="{00000000-0005-0000-0000-00003A020000}"/>
    <cellStyle name="Standard 8 5" xfId="88" xr:uid="{00000000-0005-0000-0000-00003B020000}"/>
    <cellStyle name="Standard 8 5 2" xfId="233" xr:uid="{00000000-0005-0000-0000-00003C020000}"/>
    <cellStyle name="Standard 8 5 2 2" xfId="515" xr:uid="{00000000-0005-0000-0000-00003D020000}"/>
    <cellStyle name="Standard 8 5 3" xfId="375" xr:uid="{00000000-0005-0000-0000-00003E020000}"/>
    <cellStyle name="Standard 8 6" xfId="162" xr:uid="{00000000-0005-0000-0000-00003F020000}"/>
    <cellStyle name="Standard 8 6 2" xfId="445" xr:uid="{00000000-0005-0000-0000-000040020000}"/>
    <cellStyle name="Standard 8 7" xfId="304" xr:uid="{00000000-0005-0000-0000-000041020000}"/>
    <cellStyle name="Standard 9" xfId="30" xr:uid="{00000000-0005-0000-0000-000042020000}"/>
    <cellStyle name="Währung 2" xfId="78" xr:uid="{00000000-0005-0000-0000-000043020000}"/>
    <cellStyle name="Währung 3" xfId="119" xr:uid="{00000000-0005-0000-0000-000044020000}"/>
    <cellStyle name="Währung 4" xfId="191" xr:uid="{00000000-0005-0000-0000-000045020000}"/>
    <cellStyle name="Währung 5" xfId="333" xr:uid="{00000000-0005-0000-0000-00004602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  <protection locked="1" hidden="0"/>
    </dxf>
    <dxf>
      <numFmt numFmtId="30" formatCode="@"/>
      <alignment horizontal="center" vertical="bottom" textRotation="0" wrapText="0" indent="0" justifyLastLine="0" shrinkToFit="0" readingOrder="0"/>
      <protection locked="1" hidden="0"/>
    </dxf>
    <dxf>
      <border diagonalUp="0" diagonalDown="0">
        <left/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1" hidden="0"/>
    </dxf>
  </dxfs>
  <tableStyles count="0" defaultTableStyle="TableStyleMedium2" defaultPivotStyle="PivotStyleLight16"/>
  <colors>
    <mruColors>
      <color rgb="FF305596"/>
      <color rgb="FF0066CC"/>
      <color rgb="FFE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2</xdr:row>
      <xdr:rowOff>133350</xdr:rowOff>
    </xdr:from>
    <xdr:to>
      <xdr:col>0</xdr:col>
      <xdr:colOff>2007870</xdr:colOff>
      <xdr:row>7</xdr:row>
      <xdr:rowOff>1270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181100"/>
          <a:ext cx="1645920" cy="10109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370417</xdr:colOff>
      <xdr:row>3</xdr:row>
      <xdr:rowOff>0</xdr:rowOff>
    </xdr:from>
    <xdr:to>
      <xdr:col>0</xdr:col>
      <xdr:colOff>2016337</xdr:colOff>
      <xdr:row>8</xdr:row>
      <xdr:rowOff>9736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17" y="1037166"/>
          <a:ext cx="1645920" cy="10109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295275</xdr:colOff>
      <xdr:row>0</xdr:row>
      <xdr:rowOff>30481</xdr:rowOff>
    </xdr:from>
    <xdr:ext cx="908685" cy="518159"/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30481"/>
          <a:ext cx="908685" cy="51815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6</xdr:col>
      <xdr:colOff>114300</xdr:colOff>
      <xdr:row>4</xdr:row>
      <xdr:rowOff>9525</xdr:rowOff>
    </xdr:from>
    <xdr:to>
      <xdr:col>7</xdr:col>
      <xdr:colOff>676275</xdr:colOff>
      <xdr:row>6</xdr:row>
      <xdr:rowOff>121582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91100" y="752475"/>
          <a:ext cx="1323975" cy="4549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152</xdr:row>
      <xdr:rowOff>7327</xdr:rowOff>
    </xdr:from>
    <xdr:to>
      <xdr:col>7</xdr:col>
      <xdr:colOff>1571624</xdr:colOff>
      <xdr:row>218</xdr:row>
      <xdr:rowOff>91401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5732154"/>
          <a:ext cx="7477124" cy="107227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220</xdr:row>
      <xdr:rowOff>0</xdr:rowOff>
    </xdr:from>
    <xdr:to>
      <xdr:col>7</xdr:col>
      <xdr:colOff>1428750</xdr:colOff>
      <xdr:row>285</xdr:row>
      <xdr:rowOff>51442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6306125"/>
          <a:ext cx="7334250" cy="10370192"/>
        </a:xfrm>
        <a:prstGeom prst="rect">
          <a:avLst/>
        </a:prstGeom>
      </xdr:spPr>
    </xdr:pic>
    <xdr:clientData/>
  </xdr:twoCellAnchor>
  <xdr:twoCellAnchor editAs="oneCell">
    <xdr:from>
      <xdr:col>0</xdr:col>
      <xdr:colOff>51288</xdr:colOff>
      <xdr:row>286</xdr:row>
      <xdr:rowOff>65035</xdr:rowOff>
    </xdr:from>
    <xdr:to>
      <xdr:col>7</xdr:col>
      <xdr:colOff>1562100</xdr:colOff>
      <xdr:row>351</xdr:row>
      <xdr:rowOff>143385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288" y="47623360"/>
          <a:ext cx="7416312" cy="10603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0</xdr:row>
          <xdr:rowOff>30480</xdr:rowOff>
        </xdr:from>
        <xdr:to>
          <xdr:col>7</xdr:col>
          <xdr:colOff>297180</xdr:colOff>
          <xdr:row>49</xdr:row>
          <xdr:rowOff>114300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zurichinsurance-my.sharepoint.com/Users/05190/Documents/19051xxxx%20BW%20RV%20Kunde/2018%20Datenblatt%20G&amp;O%20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5190/Documents/19051xxxx%20BW%20RV%20Kunde/IGV%20Z&#220;RICH%20BW%20V18.04%20und%20BHH%20V18.0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zurichinsurance-my.sharepoint.com/Users/05190/Documents/19051xxxx%20BW%20RV%20Kunde/IGV%20Z&#220;RICH%20BW%20V18.04%20und%20BHH%20V18.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gabe"/>
    </sheetNames>
    <sheetDataSet>
      <sheetData sheetId="0">
        <row r="32">
          <cell r="F32" t="b">
            <v>0</v>
          </cell>
        </row>
        <row r="33">
          <cell r="F33" t="b">
            <v>0</v>
          </cell>
        </row>
        <row r="38">
          <cell r="F38" t="b">
            <v>0</v>
          </cell>
        </row>
        <row r="39">
          <cell r="F39" t="b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gemeine Daten"/>
      <sheetName val="Angebot BW"/>
      <sheetName val="Angebot BHH"/>
      <sheetName val="Antrag"/>
      <sheetName val="Annahmeerklärung DSGVO"/>
      <sheetName val="Fragebogen"/>
      <sheetName val="Polizzierungsanleitung"/>
      <sheetName val="CCA-Daten"/>
    </sheetNames>
    <sheetDataSet>
      <sheetData sheetId="0"/>
      <sheetData sheetId="1">
        <row r="23">
          <cell r="G23">
            <v>1.1000000000000001E-3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</sheetData>
      <sheetData sheetId="2"/>
      <sheetData sheetId="3"/>
      <sheetData sheetId="4" refreshError="1"/>
      <sheetData sheetId="5" refreshError="1"/>
      <sheetData sheetId="6"/>
      <sheetData sheetId="7">
        <row r="4">
          <cell r="B4" t="str">
            <v>ZÜRICH Versicherungs-AG</v>
          </cell>
        </row>
        <row r="11">
          <cell r="B11" t="str">
            <v>Eduard-Bodem-Gasse 4</v>
          </cell>
        </row>
        <row r="12">
          <cell r="B12" t="str">
            <v>A-6020 Innsbruck</v>
          </cell>
        </row>
        <row r="37">
          <cell r="B37" t="str">
            <v>IGV</v>
          </cell>
        </row>
        <row r="38">
          <cell r="B38">
            <v>6280</v>
          </cell>
        </row>
        <row r="39">
          <cell r="B39" t="str">
            <v>Zell am Ziller</v>
          </cell>
        </row>
        <row r="40">
          <cell r="B40" t="str">
            <v>Gerlosstraße 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gemeine Daten"/>
      <sheetName val="Angebot BW"/>
      <sheetName val="Angebot BHH"/>
      <sheetName val="Antrag"/>
      <sheetName val="Annahmeerklärung DSGVO"/>
      <sheetName val="Fragebogen"/>
      <sheetName val="Polizzierungsanleitung"/>
      <sheetName val="CCA-Daten"/>
    </sheetNames>
    <sheetDataSet>
      <sheetData sheetId="0"/>
      <sheetData sheetId="1">
        <row r="23">
          <cell r="G23">
            <v>1.1000000000000001E-3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</sheetData>
      <sheetData sheetId="2"/>
      <sheetData sheetId="3"/>
      <sheetData sheetId="4" refreshError="1"/>
      <sheetData sheetId="5" refreshError="1"/>
      <sheetData sheetId="6"/>
      <sheetData sheetId="7">
        <row r="4">
          <cell r="B4" t="str">
            <v>ZÜRICH Versicherungs-AG</v>
          </cell>
        </row>
        <row r="11">
          <cell r="B11" t="str">
            <v>Eduard-Bodem-Gasse 4</v>
          </cell>
        </row>
        <row r="12">
          <cell r="B12" t="str">
            <v>A-6020 Innsbruck</v>
          </cell>
        </row>
        <row r="37">
          <cell r="B37" t="str">
            <v>IGV</v>
          </cell>
        </row>
        <row r="38">
          <cell r="B38">
            <v>6280</v>
          </cell>
        </row>
        <row r="39">
          <cell r="B39" t="str">
            <v>Zell am Ziller</v>
          </cell>
        </row>
        <row r="40">
          <cell r="B40" t="str">
            <v>Gerlosstraße 14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13" displayName="Tabelle13" ref="C43:D52" totalsRowShown="0" headerRowDxfId="18" dataDxfId="17" tableBorderDxfId="16">
  <autoFilter ref="C43:D52" xr:uid="{00000000-0009-0000-0100-000002000000}"/>
  <tableColumns count="2">
    <tableColumn id="1" xr3:uid="{00000000-0010-0000-0000-000001000000}" name="Verm.Nr" dataDxfId="15" dataCellStyle="Standard 2"/>
    <tableColumn id="2" xr3:uid="{00000000-0010-0000-0000-000002000000}" name="Eintrag Landesdir." dataDxfId="1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7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L42"/>
  <sheetViews>
    <sheetView showGridLines="0" tabSelected="1" zoomScaleNormal="100" workbookViewId="0">
      <selection activeCell="D29" sqref="D29:G29"/>
    </sheetView>
  </sheetViews>
  <sheetFormatPr baseColWidth="10" defaultColWidth="11.44140625" defaultRowHeight="13.8" x14ac:dyDescent="0.3"/>
  <cols>
    <col min="1" max="1" width="37.109375" style="1" customWidth="1"/>
    <col min="2" max="2" width="25.33203125" style="1" customWidth="1"/>
    <col min="3" max="3" width="13.33203125" style="1" customWidth="1"/>
    <col min="4" max="4" width="18" style="1" customWidth="1"/>
    <col min="5" max="5" width="23" style="1" customWidth="1"/>
    <col min="6" max="7" width="13.6640625" style="1" customWidth="1"/>
    <col min="8" max="8" width="2" style="1" customWidth="1"/>
    <col min="9" max="9" width="11.88671875" style="1" customWidth="1"/>
    <col min="10" max="10" width="20.44140625" style="1" customWidth="1"/>
    <col min="11" max="16384" width="11.44140625" style="1"/>
  </cols>
  <sheetData>
    <row r="1" spans="1:12" ht="23.4" x14ac:dyDescent="0.45">
      <c r="A1" s="103" t="str">
        <f>D32</f>
        <v>Bauwesen- Versicherung</v>
      </c>
      <c r="B1" s="104"/>
      <c r="C1" s="104"/>
      <c r="D1" s="104"/>
      <c r="E1" s="104"/>
      <c r="F1" s="104"/>
      <c r="G1" s="104"/>
      <c r="H1" s="104"/>
    </row>
    <row r="2" spans="1:12" ht="14.4" thickBot="1" x14ac:dyDescent="0.35">
      <c r="B2" s="105"/>
      <c r="C2" s="105"/>
      <c r="D2" s="105"/>
      <c r="E2" s="105"/>
      <c r="F2" s="105"/>
      <c r="G2" s="105"/>
      <c r="H2" s="105"/>
      <c r="I2" s="105"/>
    </row>
    <row r="3" spans="1:12" ht="18" customHeight="1" x14ac:dyDescent="0.3">
      <c r="B3" s="170" t="s">
        <v>3</v>
      </c>
      <c r="C3" s="171"/>
      <c r="D3" s="180"/>
      <c r="E3" s="181"/>
      <c r="F3" s="181"/>
      <c r="G3" s="182"/>
      <c r="H3" s="105"/>
      <c r="I3" s="105"/>
    </row>
    <row r="4" spans="1:12" ht="18" customHeight="1" x14ac:dyDescent="0.3">
      <c r="B4" s="183" t="s">
        <v>8</v>
      </c>
      <c r="C4" s="184"/>
      <c r="D4" s="187"/>
      <c r="E4" s="188"/>
      <c r="F4" s="188"/>
      <c r="G4" s="189"/>
      <c r="H4" s="105"/>
      <c r="I4" s="105"/>
      <c r="L4" s="106"/>
    </row>
    <row r="5" spans="1:12" ht="18" customHeight="1" thickBot="1" x14ac:dyDescent="0.35">
      <c r="B5" s="185" t="s">
        <v>9</v>
      </c>
      <c r="C5" s="186"/>
      <c r="D5" s="190"/>
      <c r="E5" s="191"/>
      <c r="F5" s="191"/>
      <c r="G5" s="192"/>
      <c r="H5" s="105"/>
      <c r="I5" s="105"/>
    </row>
    <row r="6" spans="1:12" ht="18" customHeight="1" thickBot="1" x14ac:dyDescent="0.35"/>
    <row r="7" spans="1:12" ht="18" customHeight="1" x14ac:dyDescent="0.3">
      <c r="B7" s="170" t="s">
        <v>10</v>
      </c>
      <c r="C7" s="171"/>
      <c r="D7" s="172" t="s">
        <v>12</v>
      </c>
      <c r="E7" s="173"/>
      <c r="F7" s="173"/>
      <c r="G7" s="174"/>
    </row>
    <row r="8" spans="1:12" ht="18" customHeight="1" thickBot="1" x14ac:dyDescent="0.35">
      <c r="B8" s="185" t="s">
        <v>10</v>
      </c>
      <c r="C8" s="186"/>
      <c r="D8" s="196" t="s">
        <v>15</v>
      </c>
      <c r="E8" s="197"/>
      <c r="F8" s="197"/>
      <c r="G8" s="198"/>
    </row>
    <row r="9" spans="1:12" ht="18" customHeight="1" thickBot="1" x14ac:dyDescent="0.35">
      <c r="B9" s="107"/>
      <c r="C9" s="107"/>
      <c r="D9" s="107"/>
      <c r="E9" s="107"/>
      <c r="H9" s="105"/>
    </row>
    <row r="10" spans="1:12" ht="18" customHeight="1" x14ac:dyDescent="0.3">
      <c r="B10" s="16" t="s">
        <v>18</v>
      </c>
      <c r="C10" s="107"/>
      <c r="D10" s="107"/>
      <c r="E10" s="107"/>
      <c r="H10" s="105"/>
    </row>
    <row r="11" spans="1:12" ht="18" customHeight="1" thickBot="1" x14ac:dyDescent="0.35">
      <c r="B11" s="17">
        <f>Settings!C11</f>
        <v>24</v>
      </c>
      <c r="C11" s="108"/>
      <c r="D11" s="107"/>
      <c r="E11" s="107"/>
      <c r="H11" s="105"/>
    </row>
    <row r="12" spans="1:12" ht="18" customHeight="1" thickBot="1" x14ac:dyDescent="0.35">
      <c r="B12" s="10" t="s">
        <v>4</v>
      </c>
      <c r="C12" s="195"/>
      <c r="D12" s="194"/>
      <c r="E12" s="10" t="s">
        <v>5</v>
      </c>
      <c r="F12" s="193"/>
      <c r="G12" s="194"/>
      <c r="H12" s="105"/>
    </row>
    <row r="13" spans="1:12" ht="18" customHeight="1" thickBot="1" x14ac:dyDescent="0.35">
      <c r="H13" s="105"/>
    </row>
    <row r="14" spans="1:12" ht="36.6" customHeight="1" thickBot="1" x14ac:dyDescent="0.35">
      <c r="B14" s="175" t="s">
        <v>13</v>
      </c>
      <c r="C14" s="176"/>
      <c r="H14" s="105"/>
    </row>
    <row r="15" spans="1:12" ht="89.4" customHeight="1" thickBot="1" x14ac:dyDescent="0.35">
      <c r="B15" s="177"/>
      <c r="C15" s="178"/>
      <c r="D15" s="178"/>
      <c r="E15" s="178"/>
      <c r="F15" s="178"/>
      <c r="G15" s="179"/>
      <c r="H15" s="105"/>
    </row>
    <row r="16" spans="1:12" ht="18" customHeight="1" thickBot="1" x14ac:dyDescent="0.35">
      <c r="H16" s="105"/>
    </row>
    <row r="17" spans="2:8" ht="35.4" customHeight="1" thickBot="1" x14ac:dyDescent="0.35">
      <c r="B17" s="164" t="s">
        <v>14</v>
      </c>
      <c r="C17" s="166"/>
      <c r="D17" s="167" t="s">
        <v>28</v>
      </c>
      <c r="E17" s="168"/>
      <c r="F17" s="168"/>
      <c r="G17" s="169"/>
      <c r="H17" s="105"/>
    </row>
    <row r="18" spans="2:8" ht="18" customHeight="1" thickBot="1" x14ac:dyDescent="0.35">
      <c r="H18" s="105"/>
    </row>
    <row r="19" spans="2:8" ht="18" customHeight="1" thickBot="1" x14ac:dyDescent="0.35">
      <c r="B19" s="164" t="s">
        <v>17</v>
      </c>
      <c r="C19" s="165"/>
      <c r="H19" s="105"/>
    </row>
    <row r="20" spans="2:8" ht="18" customHeight="1" x14ac:dyDescent="0.3">
      <c r="B20" s="170" t="s">
        <v>8</v>
      </c>
      <c r="C20" s="171"/>
      <c r="D20" s="172"/>
      <c r="E20" s="173"/>
      <c r="F20" s="173"/>
      <c r="G20" s="174"/>
      <c r="H20" s="105"/>
    </row>
    <row r="21" spans="2:8" ht="18" customHeight="1" x14ac:dyDescent="0.3">
      <c r="B21" s="183" t="s">
        <v>9</v>
      </c>
      <c r="C21" s="184"/>
      <c r="D21" s="202"/>
      <c r="E21" s="203"/>
      <c r="F21" s="203"/>
      <c r="G21" s="204"/>
      <c r="H21" s="105"/>
    </row>
    <row r="22" spans="2:8" ht="18" customHeight="1" thickBot="1" x14ac:dyDescent="0.35">
      <c r="B22" s="185" t="s">
        <v>145</v>
      </c>
      <c r="C22" s="186"/>
      <c r="D22" s="208"/>
      <c r="E22" s="209"/>
      <c r="F22" s="209"/>
      <c r="G22" s="210"/>
      <c r="H22" s="105"/>
    </row>
    <row r="23" spans="2:8" ht="18" customHeight="1" thickBot="1" x14ac:dyDescent="0.35">
      <c r="H23" s="105"/>
    </row>
    <row r="24" spans="2:8" ht="18" customHeight="1" thickBot="1" x14ac:dyDescent="0.35">
      <c r="B24" s="20" t="s">
        <v>24</v>
      </c>
      <c r="C24" s="19">
        <f>Settings!C12/1000000</f>
        <v>10</v>
      </c>
      <c r="D24" s="205"/>
      <c r="E24" s="206"/>
      <c r="F24" s="206"/>
      <c r="G24" s="207"/>
      <c r="H24" s="105"/>
    </row>
    <row r="25" spans="2:8" ht="18" customHeight="1" thickBot="1" x14ac:dyDescent="0.35">
      <c r="H25" s="105"/>
    </row>
    <row r="26" spans="2:8" ht="18" customHeight="1" x14ac:dyDescent="0.3">
      <c r="B26" s="170" t="s">
        <v>23</v>
      </c>
      <c r="C26" s="171"/>
      <c r="D26" s="172" t="s">
        <v>307</v>
      </c>
      <c r="E26" s="173"/>
      <c r="F26" s="173"/>
      <c r="G26" s="174"/>
      <c r="H26" s="105"/>
    </row>
    <row r="27" spans="2:8" ht="18" customHeight="1" thickBot="1" x14ac:dyDescent="0.35">
      <c r="B27" s="185" t="s">
        <v>22</v>
      </c>
      <c r="C27" s="186"/>
      <c r="D27" s="199">
        <v>1</v>
      </c>
      <c r="E27" s="200"/>
      <c r="F27" s="200"/>
      <c r="G27" s="201"/>
      <c r="H27" s="105"/>
    </row>
    <row r="28" spans="2:8" ht="19.95" customHeight="1" thickBot="1" x14ac:dyDescent="0.35"/>
    <row r="29" spans="2:8" ht="19.95" customHeight="1" x14ac:dyDescent="0.3">
      <c r="B29" s="170" t="s">
        <v>25</v>
      </c>
      <c r="C29" s="171"/>
      <c r="D29" s="172" t="s">
        <v>6</v>
      </c>
      <c r="E29" s="173"/>
      <c r="F29" s="173"/>
      <c r="G29" s="174"/>
    </row>
    <row r="30" spans="2:8" ht="19.95" customHeight="1" thickBot="1" x14ac:dyDescent="0.35">
      <c r="B30" s="185" t="s">
        <v>26</v>
      </c>
      <c r="C30" s="186"/>
      <c r="D30" s="214"/>
      <c r="E30" s="215"/>
      <c r="F30" s="215"/>
      <c r="G30" s="216"/>
    </row>
    <row r="31" spans="2:8" ht="19.95" customHeight="1" thickBot="1" x14ac:dyDescent="0.35"/>
    <row r="32" spans="2:8" ht="18" customHeight="1" x14ac:dyDescent="0.3">
      <c r="B32" s="170" t="s">
        <v>147</v>
      </c>
      <c r="C32" s="171"/>
      <c r="D32" s="211" t="s">
        <v>146</v>
      </c>
      <c r="E32" s="212"/>
      <c r="F32" s="212"/>
      <c r="G32" s="213"/>
    </row>
    <row r="33" spans="1:7" ht="21.6" customHeight="1" thickBot="1" x14ac:dyDescent="0.35">
      <c r="B33" s="185" t="s">
        <v>174</v>
      </c>
      <c r="C33" s="186"/>
      <c r="D33" s="196" t="s">
        <v>173</v>
      </c>
      <c r="E33" s="197"/>
      <c r="F33" s="197"/>
      <c r="G33" s="198"/>
    </row>
    <row r="35" spans="1:7" x14ac:dyDescent="0.3">
      <c r="A35" s="1" t="s">
        <v>175</v>
      </c>
    </row>
    <row r="36" spans="1:7" x14ac:dyDescent="0.3">
      <c r="A36" s="1" t="s">
        <v>149</v>
      </c>
    </row>
    <row r="38" spans="1:7" x14ac:dyDescent="0.3">
      <c r="A38" s="109" t="s">
        <v>150</v>
      </c>
      <c r="B38" s="110" t="s">
        <v>151</v>
      </c>
    </row>
    <row r="39" spans="1:7" x14ac:dyDescent="0.3">
      <c r="B39" s="110" t="s">
        <v>296</v>
      </c>
    </row>
    <row r="40" spans="1:7" x14ac:dyDescent="0.3">
      <c r="B40" s="110" t="s">
        <v>157</v>
      </c>
    </row>
    <row r="41" spans="1:7" x14ac:dyDescent="0.3">
      <c r="B41" s="145" t="s">
        <v>267</v>
      </c>
    </row>
    <row r="42" spans="1:7" x14ac:dyDescent="0.3">
      <c r="B42" s="145" t="s">
        <v>268</v>
      </c>
    </row>
  </sheetData>
  <sheetProtection algorithmName="SHA-512" hashValue="gCQuvGt0lInwKesZaQzUbqG3H5bbINKCIDckKxo0cmDExtfHC8xPRUUqGX33DGH9zTgTzMZQDNTNmW2gr3OkWg==" saltValue="1LAxSX0zZtPCBJj5yoPqyQ==" spinCount="100000" sheet="1" selectLockedCells="1"/>
  <mergeCells count="36">
    <mergeCell ref="D32:G32"/>
    <mergeCell ref="D33:G33"/>
    <mergeCell ref="B32:C32"/>
    <mergeCell ref="B33:C33"/>
    <mergeCell ref="B30:C30"/>
    <mergeCell ref="D30:G30"/>
    <mergeCell ref="B27:C27"/>
    <mergeCell ref="D27:G27"/>
    <mergeCell ref="B21:C21"/>
    <mergeCell ref="D21:G21"/>
    <mergeCell ref="B29:C29"/>
    <mergeCell ref="D29:G29"/>
    <mergeCell ref="D24:G24"/>
    <mergeCell ref="B26:C26"/>
    <mergeCell ref="D26:G26"/>
    <mergeCell ref="B22:C22"/>
    <mergeCell ref="D22:G22"/>
    <mergeCell ref="B3:C3"/>
    <mergeCell ref="B14:C14"/>
    <mergeCell ref="D7:G7"/>
    <mergeCell ref="B15:G15"/>
    <mergeCell ref="D3:G3"/>
    <mergeCell ref="B4:C4"/>
    <mergeCell ref="B5:C5"/>
    <mergeCell ref="D4:G4"/>
    <mergeCell ref="D5:G5"/>
    <mergeCell ref="F12:G12"/>
    <mergeCell ref="C12:D12"/>
    <mergeCell ref="B7:C7"/>
    <mergeCell ref="D8:G8"/>
    <mergeCell ref="B8:C8"/>
    <mergeCell ref="B19:C19"/>
    <mergeCell ref="B17:C17"/>
    <mergeCell ref="D17:G17"/>
    <mergeCell ref="B20:C20"/>
    <mergeCell ref="D20:G20"/>
  </mergeCells>
  <pageMargins left="0.7" right="0.7" top="0.78740157499999996" bottom="0.78740157499999996" header="0.3" footer="0.3"/>
  <pageSetup paperSize="9" scale="61" orientation="portrait" r:id="rId1"/>
  <headerFooter>
    <oddFooter>&amp;L&amp;1#&amp;"Calibri"&amp;10&amp;K000000INTERNAL USE ONLY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Settings!$C$6:$C$8</xm:f>
          </x14:formula1>
          <xm:sqref>D17:G17</xm:sqref>
        </x14:dataValidation>
        <x14:dataValidation type="list" allowBlank="1" showInputMessage="1" showErrorMessage="1" xr:uid="{00000000-0002-0000-0000-000002000000}">
          <x14:formula1>
            <xm:f>Settings!$C$4:$C$5</xm:f>
          </x14:formula1>
          <xm:sqref>D8:G8</xm:sqref>
        </x14:dataValidation>
        <x14:dataValidation type="list" allowBlank="1" showInputMessage="1" showErrorMessage="1" xr:uid="{00000000-0002-0000-0000-000003000000}">
          <x14:formula1>
            <xm:f>Settings!$C$9:$C$10</xm:f>
          </x14:formula1>
          <xm:sqref>D29:G29</xm:sqref>
        </x14:dataValidation>
        <x14:dataValidation type="whole" allowBlank="1" showInputMessage="1" showErrorMessage="1" xr:uid="{00000000-0002-0000-0000-000007000000}">
          <x14:formula1>
            <xm:f>500000</xm:f>
          </x14:formula1>
          <x14:formula2>
            <xm:f>Settings!C12</xm:f>
          </x14:formula2>
          <xm:sqref>D24:G24</xm:sqref>
        </x14:dataValidation>
        <x14:dataValidation type="date" allowBlank="1" showInputMessage="1" showErrorMessage="1" errorTitle="Versicherungsdauer" error="max. 24 Monate" xr:uid="{00000000-0002-0000-0000-000008000000}">
          <x14:formula1>
            <xm:f>C12</xm:f>
          </x14:formula1>
          <x14:formula2>
            <xm:f>Settings!D11</xm:f>
          </x14:formula2>
          <xm:sqref>F12:G12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pageSetUpPr fitToPage="1"/>
  </sheetPr>
  <dimension ref="A1:Q57"/>
  <sheetViews>
    <sheetView showGridLines="0" topLeftCell="A4" zoomScaleNormal="100" zoomScaleSheetLayoutView="40" workbookViewId="0">
      <selection activeCell="D28" sqref="D28"/>
    </sheetView>
  </sheetViews>
  <sheetFormatPr baseColWidth="10" defaultColWidth="25.109375" defaultRowHeight="13.8" x14ac:dyDescent="0.3"/>
  <cols>
    <col min="1" max="1" width="37" style="1" customWidth="1"/>
    <col min="2" max="2" width="51" style="1" customWidth="1"/>
    <col min="3" max="3" width="23.6640625" style="1" customWidth="1"/>
    <col min="4" max="4" width="21" style="1" customWidth="1"/>
    <col min="5" max="5" width="8" style="1" bestFit="1" customWidth="1"/>
    <col min="6" max="6" width="31.33203125" style="1" bestFit="1" customWidth="1"/>
    <col min="7" max="7" width="27.88671875" style="1" bestFit="1" customWidth="1"/>
    <col min="8" max="8" width="9.33203125" style="1" customWidth="1"/>
    <col min="9" max="9" width="15.88671875" style="1" customWidth="1"/>
    <col min="10" max="10" width="28.88671875" style="1" bestFit="1" customWidth="1"/>
    <col min="11" max="11" width="25.6640625" style="1" customWidth="1"/>
    <col min="12" max="12" width="17.88671875" style="1" customWidth="1"/>
    <col min="13" max="13" width="15.88671875" style="1" customWidth="1"/>
    <col min="14" max="14" width="9.5546875" style="1" customWidth="1"/>
    <col min="15" max="16384" width="25.109375" style="1"/>
  </cols>
  <sheetData>
    <row r="1" spans="1:17" s="2" customFormat="1" ht="9.75" customHeight="1" thickBot="1" x14ac:dyDescent="0.4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4" thickBot="1" x14ac:dyDescent="0.5">
      <c r="A2" s="9" t="s">
        <v>7</v>
      </c>
      <c r="B2" s="217" t="s">
        <v>29</v>
      </c>
      <c r="C2" s="218"/>
      <c r="D2" s="218"/>
      <c r="E2" s="218"/>
      <c r="F2" s="218"/>
      <c r="G2" s="219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3" customFormat="1" ht="16.2" thickBot="1" x14ac:dyDescent="0.35"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7" s="3" customFormat="1" ht="15.6" customHeight="1" x14ac:dyDescent="0.3">
      <c r="B5" s="25" t="s">
        <v>43</v>
      </c>
      <c r="C5" s="26"/>
      <c r="D5" s="26"/>
      <c r="E5" s="26"/>
      <c r="F5" s="27"/>
      <c r="G5" s="98" t="s">
        <v>0</v>
      </c>
      <c r="H5" s="15"/>
      <c r="I5" s="15"/>
      <c r="J5" s="15"/>
      <c r="K5" s="15"/>
      <c r="L5" s="15"/>
      <c r="M5" s="15"/>
      <c r="N5" s="15"/>
      <c r="O5" s="15"/>
      <c r="P5" s="15"/>
    </row>
    <row r="6" spans="1:17" s="3" customFormat="1" ht="15.6" x14ac:dyDescent="0.3">
      <c r="B6" s="28" t="s">
        <v>42</v>
      </c>
      <c r="C6" s="24"/>
      <c r="D6" s="24"/>
      <c r="E6" s="24"/>
      <c r="F6" s="29"/>
      <c r="G6" s="100" t="s">
        <v>0</v>
      </c>
      <c r="H6" s="15"/>
      <c r="I6" s="15"/>
      <c r="J6" s="15"/>
      <c r="K6" s="15"/>
      <c r="L6" s="15"/>
      <c r="M6" s="15"/>
      <c r="N6" s="15"/>
      <c r="O6" s="15"/>
      <c r="P6" s="15"/>
    </row>
    <row r="7" spans="1:17" s="3" customFormat="1" ht="15.6" x14ac:dyDescent="0.3">
      <c r="B7" s="28" t="s">
        <v>41</v>
      </c>
      <c r="C7" s="24"/>
      <c r="D7" s="24"/>
      <c r="E7" s="24"/>
      <c r="F7" s="29"/>
      <c r="G7" s="100" t="s">
        <v>0</v>
      </c>
      <c r="H7" s="15"/>
      <c r="I7" s="15"/>
      <c r="J7" s="15"/>
      <c r="K7" s="15"/>
      <c r="L7" s="15"/>
      <c r="M7" s="15"/>
      <c r="N7" s="15"/>
      <c r="O7" s="15"/>
      <c r="P7" s="15"/>
    </row>
    <row r="8" spans="1:17" s="3" customFormat="1" ht="15.6" x14ac:dyDescent="0.3">
      <c r="B8" s="28" t="s">
        <v>40</v>
      </c>
      <c r="C8" s="24"/>
      <c r="D8" s="24"/>
      <c r="E8" s="24"/>
      <c r="F8" s="29"/>
      <c r="G8" s="100" t="s">
        <v>0</v>
      </c>
      <c r="H8" s="15"/>
      <c r="I8" s="15"/>
      <c r="J8" s="15"/>
      <c r="K8" s="15"/>
      <c r="L8" s="15"/>
      <c r="M8" s="15"/>
      <c r="N8" s="15"/>
      <c r="O8" s="15"/>
      <c r="P8" s="15"/>
    </row>
    <row r="9" spans="1:17" s="3" customFormat="1" ht="15.6" x14ac:dyDescent="0.3">
      <c r="B9" s="28" t="s">
        <v>30</v>
      </c>
      <c r="C9" s="24"/>
      <c r="D9" s="24"/>
      <c r="E9" s="24"/>
      <c r="F9" s="29"/>
      <c r="G9" s="100" t="s">
        <v>0</v>
      </c>
      <c r="H9" s="15"/>
      <c r="I9" s="15"/>
      <c r="J9" s="15"/>
      <c r="K9" s="15"/>
      <c r="L9" s="15"/>
      <c r="M9" s="15"/>
      <c r="N9" s="15"/>
      <c r="O9" s="15"/>
      <c r="P9" s="15"/>
    </row>
    <row r="10" spans="1:17" s="3" customFormat="1" ht="15.6" x14ac:dyDescent="0.3">
      <c r="B10" s="28" t="s">
        <v>31</v>
      </c>
      <c r="C10" s="24"/>
      <c r="D10" s="24"/>
      <c r="E10" s="24"/>
      <c r="F10" s="29"/>
      <c r="G10" s="100" t="s">
        <v>0</v>
      </c>
      <c r="H10" s="15"/>
      <c r="I10" s="15"/>
      <c r="J10" s="15"/>
      <c r="K10" s="15"/>
      <c r="L10" s="15"/>
      <c r="M10" s="15"/>
      <c r="N10" s="15"/>
      <c r="O10" s="15"/>
      <c r="P10" s="15"/>
    </row>
    <row r="11" spans="1:17" s="3" customFormat="1" ht="16.2" thickBot="1" x14ac:dyDescent="0.35">
      <c r="B11" s="30" t="s">
        <v>32</v>
      </c>
      <c r="C11" s="31"/>
      <c r="D11" s="31"/>
      <c r="E11" s="31"/>
      <c r="F11" s="32"/>
      <c r="G11" s="99" t="s">
        <v>0</v>
      </c>
      <c r="H11" s="15"/>
      <c r="I11" s="15"/>
      <c r="J11" s="15"/>
      <c r="K11" s="15"/>
      <c r="L11" s="15"/>
      <c r="M11" s="15"/>
      <c r="N11" s="15"/>
      <c r="O11" s="15"/>
      <c r="P11" s="15"/>
    </row>
    <row r="12" spans="1:17" s="3" customFormat="1" ht="16.2" thickBot="1" x14ac:dyDescent="0.35"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7" s="3" customFormat="1" ht="78.599999999999994" customHeight="1" thickBot="1" x14ac:dyDescent="0.35">
      <c r="B13" s="227" t="s">
        <v>63</v>
      </c>
      <c r="C13" s="228"/>
      <c r="D13" s="223"/>
      <c r="E13" s="223"/>
      <c r="F13" s="223"/>
      <c r="G13" s="224"/>
      <c r="H13" s="15"/>
      <c r="I13" s="15"/>
      <c r="J13" s="15"/>
      <c r="K13" s="15"/>
      <c r="L13" s="15"/>
      <c r="M13" s="15"/>
      <c r="N13" s="15"/>
      <c r="O13" s="15"/>
      <c r="P13" s="15"/>
    </row>
    <row r="14" spans="1:17" s="3" customFormat="1" ht="16.2" thickBot="1" x14ac:dyDescent="0.35">
      <c r="C14" s="22"/>
      <c r="D14" s="22"/>
      <c r="E14" s="22"/>
      <c r="F14" s="22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7" s="3" customFormat="1" ht="16.2" thickBot="1" x14ac:dyDescent="0.35">
      <c r="B15" s="221" t="s">
        <v>156</v>
      </c>
      <c r="C15" s="222"/>
      <c r="D15" s="225">
        <v>1500</v>
      </c>
      <c r="E15" s="225"/>
      <c r="F15" s="225"/>
      <c r="G15" s="226"/>
      <c r="H15" s="15"/>
      <c r="I15" s="15"/>
      <c r="J15" s="15"/>
      <c r="K15" s="15"/>
      <c r="L15" s="15"/>
      <c r="M15" s="15"/>
      <c r="N15" s="15"/>
      <c r="O15" s="15"/>
      <c r="P15" s="15"/>
    </row>
    <row r="16" spans="1:17" s="3" customFormat="1" ht="16.2" thickBot="1" x14ac:dyDescent="0.35">
      <c r="C16" s="22"/>
      <c r="D16" s="22"/>
      <c r="E16" s="22"/>
      <c r="F16" s="22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2:16" s="3" customFormat="1" ht="24.6" customHeight="1" thickBot="1" x14ac:dyDescent="0.35">
      <c r="B17" s="217" t="s">
        <v>44</v>
      </c>
      <c r="C17" s="218"/>
      <c r="D17" s="218"/>
      <c r="E17" s="218"/>
      <c r="F17" s="218"/>
      <c r="G17" s="219"/>
      <c r="H17" s="15"/>
      <c r="I17" s="15"/>
      <c r="J17" s="15"/>
      <c r="K17" s="15"/>
      <c r="L17" s="15"/>
      <c r="M17" s="15"/>
      <c r="N17" s="15"/>
      <c r="O17" s="15"/>
      <c r="P17" s="15"/>
    </row>
    <row r="18" spans="2:16" s="3" customFormat="1" ht="15.6" x14ac:dyDescent="0.3">
      <c r="C18" s="22"/>
      <c r="D18" s="22"/>
      <c r="E18" s="22"/>
      <c r="F18" s="22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2:16" s="3" customFormat="1" ht="15.6" x14ac:dyDescent="0.3">
      <c r="B19" s="14" t="s">
        <v>19</v>
      </c>
      <c r="C19" s="23"/>
      <c r="D19" s="34">
        <f>Eingabe!D24</f>
        <v>0</v>
      </c>
      <c r="E19" s="35">
        <v>1.0900000000000001</v>
      </c>
      <c r="F19" s="34">
        <f>D19*E19/1000</f>
        <v>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s="3" customFormat="1" ht="15.6" x14ac:dyDescent="0.3">
      <c r="B20" s="42" t="s">
        <v>141</v>
      </c>
      <c r="C20" s="23"/>
      <c r="D20" s="34">
        <f>(D19+D23)*0.2</f>
        <v>0</v>
      </c>
      <c r="E20" s="35"/>
      <c r="F20" s="34"/>
      <c r="G20" s="43"/>
      <c r="H20" s="43"/>
      <c r="I20" s="43"/>
      <c r="J20" s="43"/>
      <c r="K20" s="43"/>
      <c r="L20" s="43"/>
      <c r="M20" s="43"/>
      <c r="N20" s="43"/>
      <c r="O20" s="43"/>
      <c r="P20" s="43"/>
    </row>
    <row r="21" spans="2:16" s="3" customFormat="1" ht="31.2" hidden="1" x14ac:dyDescent="0.3">
      <c r="B21" s="37" t="s">
        <v>45</v>
      </c>
      <c r="C21" s="37" t="str">
        <f>IF(Settings!E5=0,"nur möglich wenn der VN Bauunternehmer ist","")</f>
        <v>nur möglich wenn der VN Bauunternehmer ist</v>
      </c>
      <c r="D21" s="33"/>
      <c r="E21" s="35">
        <v>2</v>
      </c>
      <c r="F21" s="34">
        <f t="shared" ref="F21:F28" si="0">D21*E21/1000</f>
        <v>0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s="3" customFormat="1" ht="31.2" hidden="1" x14ac:dyDescent="0.3">
      <c r="B22" s="37" t="s">
        <v>46</v>
      </c>
      <c r="C22" s="37" t="str">
        <f>IF(Settings!E5=0,"nur möglich wenn der VN Bauunternehmer ist","")</f>
        <v>nur möglich wenn der VN Bauunternehmer ist</v>
      </c>
      <c r="D22" s="33"/>
      <c r="E22" s="35">
        <v>3</v>
      </c>
      <c r="F22" s="34">
        <f t="shared" si="0"/>
        <v>0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s="3" customFormat="1" ht="31.2" x14ac:dyDescent="0.3">
      <c r="B23" s="37" t="s">
        <v>53</v>
      </c>
      <c r="C23" s="37"/>
      <c r="D23" s="101"/>
      <c r="E23" s="35">
        <f>1.1/1.11</f>
        <v>0.99099099099099097</v>
      </c>
      <c r="F23" s="34">
        <f t="shared" si="0"/>
        <v>0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2:16" s="3" customFormat="1" ht="30.6" customHeight="1" x14ac:dyDescent="0.3">
      <c r="B24" s="14" t="s">
        <v>47</v>
      </c>
      <c r="C24" s="37" t="str">
        <f>IF(Settings!E6=1,"nur möglich bei Zu-, Umbauten","Maximum "&amp;TEXT(Settings!D27,"#.##0"))</f>
        <v>nur möglich bei Zu-, Umbauten</v>
      </c>
      <c r="D24" s="101"/>
      <c r="E24" s="35">
        <v>2.2000000000000002</v>
      </c>
      <c r="F24" s="34">
        <f t="shared" si="0"/>
        <v>0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2:16" s="3" customFormat="1" ht="46.8" hidden="1" x14ac:dyDescent="0.3">
      <c r="B25" s="92" t="s">
        <v>48</v>
      </c>
      <c r="C25" s="37" t="str">
        <f>IF(D24=0,"nur möglich wenn 'Bestehende Altbauten' gewählt","Maximum "&amp;TEXT(Settings!D28,"#.##0"))</f>
        <v>nur möglich wenn 'Bestehende Altbauten' gewählt</v>
      </c>
      <c r="D25" s="101"/>
      <c r="E25" s="35">
        <v>6</v>
      </c>
      <c r="F25" s="34">
        <f t="shared" si="0"/>
        <v>0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2:16" s="3" customFormat="1" ht="15.6" x14ac:dyDescent="0.3">
      <c r="B26" s="14" t="s">
        <v>49</v>
      </c>
      <c r="C26" s="14" t="str">
        <f>"Maximum "&amp;TEXT(Settings!D29,"#.##0")</f>
        <v>Maximum 100.000</v>
      </c>
      <c r="D26" s="101"/>
      <c r="E26" s="35">
        <v>1.6</v>
      </c>
      <c r="F26" s="34">
        <f t="shared" si="0"/>
        <v>0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2:16" s="3" customFormat="1" ht="15.6" x14ac:dyDescent="0.3">
      <c r="B27" s="92" t="s">
        <v>155</v>
      </c>
      <c r="C27" s="102" t="s">
        <v>153</v>
      </c>
      <c r="D27" s="94"/>
      <c r="E27" s="35">
        <v>3.6</v>
      </c>
      <c r="F27" s="34">
        <f>IF(Settings!E37=2,D26*E27/1000,0)</f>
        <v>0</v>
      </c>
      <c r="G27" s="93"/>
      <c r="H27" s="93"/>
      <c r="I27" s="93"/>
      <c r="J27" s="93"/>
      <c r="K27" s="93"/>
      <c r="L27" s="93"/>
      <c r="M27" s="93"/>
      <c r="N27" s="93"/>
      <c r="O27" s="93"/>
      <c r="P27" s="93"/>
    </row>
    <row r="28" spans="2:16" s="3" customFormat="1" ht="15.6" x14ac:dyDescent="0.3">
      <c r="B28" s="14" t="s">
        <v>51</v>
      </c>
      <c r="C28" s="14" t="str">
        <f>"Maximum "&amp;TEXT(Settings!D30,"#.##0")</f>
        <v>Maximum 100.000</v>
      </c>
      <c r="D28" s="101"/>
      <c r="E28" s="35">
        <v>1.6</v>
      </c>
      <c r="F28" s="34">
        <f t="shared" si="0"/>
        <v>0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 s="3" customFormat="1" ht="15.6" x14ac:dyDescent="0.3">
      <c r="B29" s="14" t="s">
        <v>300</v>
      </c>
      <c r="C29" s="102" t="s">
        <v>153</v>
      </c>
      <c r="D29" s="94"/>
      <c r="E29" s="35"/>
      <c r="F29" s="34">
        <f>(300+(Settings!E34*500))*Settings!E31</f>
        <v>0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 s="3" customFormat="1" ht="15.6" x14ac:dyDescent="0.3">
      <c r="B30" s="14" t="s">
        <v>56</v>
      </c>
      <c r="C30" s="14"/>
      <c r="D30" s="34">
        <f>(D19+D23)*0.15</f>
        <v>0</v>
      </c>
      <c r="E30" s="35"/>
      <c r="F30" s="34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 s="3" customFormat="1" ht="15.6" x14ac:dyDescent="0.3">
      <c r="C31" s="22"/>
      <c r="D31" s="36">
        <f>SUM(D19:D30)</f>
        <v>0</v>
      </c>
      <c r="E31" s="35"/>
      <c r="F31" s="36">
        <f>ROUND(MAX(SUM(F19:F30),Settings!C32),1)</f>
        <v>600</v>
      </c>
      <c r="G31" s="38" t="str">
        <f>IF(F31=Settings!C32,"Mindestprämie","Gesamtprämie netto")</f>
        <v>Mindestprämie</v>
      </c>
      <c r="H31" s="15"/>
      <c r="I31" s="15"/>
      <c r="J31" s="15"/>
      <c r="K31" s="15"/>
      <c r="L31" s="15"/>
      <c r="M31" s="15"/>
      <c r="N31" s="15"/>
      <c r="O31" s="15"/>
      <c r="P31" s="15"/>
    </row>
    <row r="32" spans="2:16" s="3" customFormat="1" ht="15.6" x14ac:dyDescent="0.3">
      <c r="C32" s="22"/>
      <c r="D32" s="22"/>
      <c r="E32" s="39">
        <v>0.11</v>
      </c>
      <c r="F32" s="34">
        <f>F31*E32</f>
        <v>66</v>
      </c>
      <c r="G32" s="38" t="s">
        <v>57</v>
      </c>
      <c r="H32" s="15"/>
      <c r="I32" s="15"/>
      <c r="J32" s="15"/>
      <c r="K32" s="15"/>
      <c r="L32" s="15"/>
      <c r="M32" s="15"/>
      <c r="N32" s="15"/>
      <c r="O32" s="15"/>
      <c r="P32" s="15"/>
    </row>
    <row r="33" spans="2:16" s="3" customFormat="1" ht="15.6" x14ac:dyDescent="0.3">
      <c r="C33" s="22"/>
      <c r="D33" s="22"/>
      <c r="E33" s="22"/>
      <c r="F33" s="36">
        <f>F31+F32</f>
        <v>666</v>
      </c>
      <c r="G33" s="40" t="s">
        <v>58</v>
      </c>
      <c r="H33" s="15"/>
      <c r="I33" s="15"/>
      <c r="J33" s="15"/>
      <c r="K33" s="15"/>
      <c r="L33" s="15"/>
      <c r="M33" s="15"/>
      <c r="N33" s="15"/>
      <c r="O33" s="15"/>
      <c r="P33" s="15"/>
    </row>
    <row r="34" spans="2:16" s="3" customFormat="1" ht="15.6" x14ac:dyDescent="0.3">
      <c r="C34" s="22"/>
      <c r="D34" s="22"/>
      <c r="E34" s="22"/>
      <c r="F34" s="22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2:16" s="3" customFormat="1" ht="15.6" x14ac:dyDescent="0.3">
      <c r="C35" s="22"/>
      <c r="D35" s="22"/>
      <c r="E35" s="22"/>
      <c r="F35" s="22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2:16" s="3" customFormat="1" ht="15.6" x14ac:dyDescent="0.3">
      <c r="C36" s="22"/>
      <c r="D36" s="22"/>
      <c r="E36" s="22"/>
      <c r="F36" s="22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2:16" s="3" customFormat="1" ht="15.6" x14ac:dyDescent="0.3">
      <c r="C37" s="22"/>
      <c r="D37" s="22"/>
      <c r="E37" s="22"/>
      <c r="F37" s="22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2:16" s="3" customFormat="1" ht="15.6" x14ac:dyDescent="0.3">
      <c r="C38" s="22"/>
      <c r="D38" s="22"/>
      <c r="E38" s="22"/>
      <c r="F38" s="22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2:16" s="3" customFormat="1" ht="15.6" x14ac:dyDescent="0.3">
      <c r="C39" s="22"/>
      <c r="D39" s="22"/>
      <c r="E39" s="22"/>
      <c r="F39" s="22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2:16" s="3" customFormat="1" ht="15.6" x14ac:dyDescent="0.3">
      <c r="C40" s="22"/>
      <c r="D40" s="22"/>
      <c r="E40" s="22"/>
      <c r="F40" s="22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2:16" s="3" customFormat="1" ht="15.6" x14ac:dyDescent="0.3">
      <c r="C41" s="22"/>
      <c r="D41" s="22"/>
      <c r="E41" s="22"/>
      <c r="F41" s="22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2:16" s="3" customFormat="1" ht="15.6" x14ac:dyDescent="0.3">
      <c r="C42" s="11"/>
      <c r="E42" s="8"/>
      <c r="F42" s="12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2:16" s="3" customFormat="1" ht="15.6" x14ac:dyDescent="0.3">
      <c r="D43" s="4"/>
      <c r="E43" s="4"/>
      <c r="F43" s="8"/>
      <c r="G43" s="6"/>
      <c r="H43" s="220"/>
      <c r="I43" s="220"/>
      <c r="J43" s="6"/>
      <c r="K43" s="6"/>
      <c r="L43" s="6"/>
      <c r="M43" s="6"/>
      <c r="N43" s="6"/>
      <c r="O43" s="6"/>
      <c r="P43" s="6"/>
    </row>
    <row r="44" spans="2:16" s="3" customFormat="1" ht="15.6" x14ac:dyDescent="0.3">
      <c r="F44" s="6"/>
      <c r="G44" s="6"/>
      <c r="I44" s="6"/>
      <c r="J44" s="6"/>
      <c r="K44" s="6"/>
      <c r="L44" s="6"/>
      <c r="M44" s="6"/>
      <c r="N44" s="6"/>
      <c r="O44" s="6"/>
      <c r="P44" s="6"/>
    </row>
    <row r="45" spans="2:16" s="3" customFormat="1" ht="15.6" x14ac:dyDescent="0.3">
      <c r="B45" s="6"/>
      <c r="C45" s="6"/>
      <c r="D45" s="6"/>
      <c r="E45" s="6"/>
      <c r="F45" s="6"/>
      <c r="G45" s="6"/>
      <c r="I45" s="6"/>
      <c r="J45" s="6"/>
      <c r="K45" s="6"/>
      <c r="L45" s="6"/>
      <c r="M45" s="6"/>
      <c r="N45" s="6"/>
      <c r="O45" s="6"/>
      <c r="P45" s="6"/>
    </row>
    <row r="46" spans="2:16" x14ac:dyDescent="0.3">
      <c r="B46" s="6"/>
      <c r="C46" s="6"/>
      <c r="D46" s="6"/>
      <c r="E46" s="6"/>
      <c r="F46" s="6"/>
      <c r="G46" s="6"/>
      <c r="I46" s="6"/>
      <c r="J46" s="6"/>
      <c r="K46" s="6"/>
      <c r="L46" s="6"/>
      <c r="M46" s="6"/>
      <c r="N46" s="6"/>
      <c r="O46" s="6"/>
      <c r="P46" s="6"/>
    </row>
    <row r="47" spans="2:16" x14ac:dyDescent="0.3">
      <c r="B47" s="6"/>
      <c r="C47" s="6"/>
      <c r="D47" s="6"/>
      <c r="E47" s="6"/>
      <c r="F47" s="6"/>
      <c r="G47" s="6"/>
      <c r="I47" s="6"/>
      <c r="J47" s="6"/>
      <c r="K47" s="6"/>
      <c r="L47" s="6"/>
      <c r="M47" s="6"/>
      <c r="N47" s="6"/>
      <c r="O47" s="6"/>
      <c r="P47" s="6"/>
    </row>
    <row r="48" spans="2:16" x14ac:dyDescent="0.3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x14ac:dyDescent="0.3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x14ac:dyDescent="0.3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x14ac:dyDescent="0.3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x14ac:dyDescent="0.3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x14ac:dyDescent="0.3">
      <c r="A54" s="6"/>
      <c r="B54" s="220"/>
      <c r="C54" s="220"/>
      <c r="D54" s="6"/>
      <c r="E54" s="6"/>
      <c r="F54" s="7"/>
      <c r="G54" s="7"/>
      <c r="H54" s="7"/>
      <c r="I54" s="7"/>
      <c r="J54" s="6"/>
      <c r="K54" s="7"/>
      <c r="L54" s="7"/>
      <c r="M54" s="7"/>
      <c r="N54" s="6"/>
      <c r="O54" s="6"/>
      <c r="P54" s="6"/>
    </row>
    <row r="55" spans="1:16" x14ac:dyDescent="0.3">
      <c r="A55" s="6"/>
      <c r="B55" s="220"/>
      <c r="C55" s="220"/>
      <c r="D55" s="6"/>
      <c r="E55" s="6"/>
      <c r="F55" s="7"/>
      <c r="G55" s="7"/>
      <c r="H55" s="7"/>
      <c r="I55" s="7"/>
      <c r="J55" s="6"/>
      <c r="K55" s="7"/>
      <c r="L55" s="7"/>
      <c r="M55" s="7"/>
      <c r="N55" s="6"/>
      <c r="O55" s="6"/>
      <c r="P55" s="6"/>
    </row>
    <row r="56" spans="1:16" x14ac:dyDescent="0.3">
      <c r="B56" s="5"/>
      <c r="C56" s="5"/>
      <c r="G56" s="5"/>
      <c r="H56" s="5"/>
      <c r="I56" s="5"/>
      <c r="J56" s="5"/>
      <c r="K56" s="6"/>
      <c r="L56" s="6"/>
      <c r="M56" s="6"/>
      <c r="N56" s="6"/>
      <c r="O56" s="6"/>
      <c r="P56" s="6"/>
    </row>
    <row r="57" spans="1:16" x14ac:dyDescent="0.3">
      <c r="K57" s="6"/>
      <c r="L57" s="6"/>
      <c r="M57" s="6"/>
      <c r="N57" s="6"/>
      <c r="O57" s="6"/>
      <c r="P57" s="6"/>
    </row>
  </sheetData>
  <sheetProtection algorithmName="SHA-512" hashValue="Wpz7DIBBWgCn8qtE9uZn2xQH2OGvjM/JHensbn3pZ2y/Lz5Pmjw8awTvKEiCjwRxMttqPww7S6cWkGW/uwpvxg==" saltValue="ojzdXXOUe7p865rZXaZ97w==" spinCount="100000" sheet="1" selectLockedCells="1"/>
  <dataConsolidate/>
  <mergeCells count="9">
    <mergeCell ref="B2:G2"/>
    <mergeCell ref="H43:I43"/>
    <mergeCell ref="B54:C54"/>
    <mergeCell ref="B55:C55"/>
    <mergeCell ref="B15:C15"/>
    <mergeCell ref="D13:G13"/>
    <mergeCell ref="D15:G15"/>
    <mergeCell ref="B17:G17"/>
    <mergeCell ref="B13:C13"/>
  </mergeCells>
  <phoneticPr fontId="0" type="noConversion"/>
  <dataValidations count="1">
    <dataValidation type="list" allowBlank="1" showInputMessage="1" showErrorMessage="1" sqref="G5:G11" xr:uid="{00000000-0002-0000-0100-000000000000}">
      <formula1>"Ja,Nein"</formula1>
    </dataValidation>
  </dataValidations>
  <pageMargins left="0.23622047244094491" right="0.15748031496062992" top="0.23622047244094491" bottom="0.23622047244094491" header="0.19685039370078741" footer="0.19685039370078741"/>
  <pageSetup paperSize="9" scale="72" orientation="landscape" r:id="rId1"/>
  <headerFooter alignWithMargins="0">
    <oddFooter>&amp;L&amp;1#&amp;"Calibri"&amp;10&amp;K000000INTERNAL USE ONLY</oddFooter>
  </headerFooter>
  <colBreaks count="1" manualBreakCount="1">
    <brk id="2" max="31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Settings!$C$36:$C$37</xm:f>
          </x14:formula1>
          <xm:sqref>C27 C29</xm:sqref>
        </x14:dataValidation>
        <x14:dataValidation type="whole" allowBlank="1" showInputMessage="1" showErrorMessage="1" xr:uid="{00000000-0002-0000-0100-000002000000}">
          <x14:formula1>
            <xm:f>0</xm:f>
          </x14:formula1>
          <x14:formula2>
            <xm:f>Settings!D24</xm:f>
          </x14:formula2>
          <xm:sqref>D21:D27</xm:sqref>
        </x14:dataValidation>
        <x14:dataValidation type="whole" allowBlank="1" showInputMessage="1" showErrorMessage="1" xr:uid="{00000000-0002-0000-0100-000003000000}">
          <x14:formula1>
            <xm:f>0</xm:f>
          </x14:formula1>
          <x14:formula2>
            <xm:f>Settings!D30</xm:f>
          </x14:formula2>
          <xm:sqref>D28:D29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89107-E033-4B61-BA75-586C1CC3A908}">
  <dimension ref="A1:H150"/>
  <sheetViews>
    <sheetView zoomScaleNormal="100" zoomScaleSheetLayoutView="130" workbookViewId="0">
      <selection activeCell="K285" sqref="K285"/>
    </sheetView>
  </sheetViews>
  <sheetFormatPr baseColWidth="10" defaultColWidth="11.44140625" defaultRowHeight="13.2" x14ac:dyDescent="0.25"/>
  <cols>
    <col min="1" max="1" width="12.6640625" style="90" bestFit="1" customWidth="1"/>
    <col min="2" max="2" width="11.5546875" style="90" customWidth="1"/>
    <col min="3" max="3" width="13.6640625" style="90" customWidth="1"/>
    <col min="4" max="4" width="16.33203125" style="90" bestFit="1" customWidth="1"/>
    <col min="5" max="7" width="11.44140625" style="90"/>
    <col min="8" max="8" width="23.5546875" style="90" customWidth="1"/>
    <col min="9" max="16384" width="11.44140625" style="90"/>
  </cols>
  <sheetData>
    <row r="1" spans="1:6" ht="18.600000000000001" thickBot="1" x14ac:dyDescent="0.3">
      <c r="A1" s="138" t="s">
        <v>265</v>
      </c>
      <c r="B1" s="137"/>
      <c r="C1" s="137"/>
      <c r="D1" s="137"/>
      <c r="E1" s="137"/>
      <c r="F1" s="136"/>
    </row>
    <row r="2" spans="1:6" ht="13.8" thickBot="1" x14ac:dyDescent="0.3"/>
    <row r="3" spans="1:6" x14ac:dyDescent="0.25">
      <c r="A3" s="229" t="s">
        <v>3</v>
      </c>
      <c r="B3" s="230"/>
      <c r="C3" s="231">
        <f>Eingabe!D3</f>
        <v>0</v>
      </c>
      <c r="D3" s="232"/>
      <c r="E3" s="232"/>
      <c r="F3" s="233"/>
    </row>
    <row r="4" spans="1:6" x14ac:dyDescent="0.25">
      <c r="A4" s="234" t="s">
        <v>8</v>
      </c>
      <c r="B4" s="235"/>
      <c r="C4" s="236">
        <f>Eingabe!D4</f>
        <v>0</v>
      </c>
      <c r="D4" s="237"/>
      <c r="E4" s="237"/>
      <c r="F4" s="238"/>
    </row>
    <row r="5" spans="1:6" ht="13.8" thickBot="1" x14ac:dyDescent="0.3">
      <c r="A5" s="239" t="s">
        <v>9</v>
      </c>
      <c r="B5" s="240"/>
      <c r="C5" s="241">
        <f>Eingabe!D5</f>
        <v>0</v>
      </c>
      <c r="D5" s="242"/>
      <c r="E5" s="242"/>
      <c r="F5" s="243"/>
    </row>
    <row r="6" spans="1:6" ht="13.8" thickBot="1" x14ac:dyDescent="0.3"/>
    <row r="7" spans="1:6" ht="14.4" thickBot="1" x14ac:dyDescent="0.35">
      <c r="A7" s="244" t="s">
        <v>264</v>
      </c>
      <c r="B7" s="245"/>
      <c r="C7" s="146"/>
      <c r="D7" s="146"/>
      <c r="E7" s="146"/>
      <c r="F7" s="146"/>
    </row>
    <row r="8" spans="1:6" ht="50.25" customHeight="1" thickBot="1" x14ac:dyDescent="0.3">
      <c r="A8" s="246">
        <f>Eingabe!B15</f>
        <v>0</v>
      </c>
      <c r="B8" s="247"/>
      <c r="C8" s="247"/>
      <c r="D8" s="247"/>
      <c r="E8" s="247"/>
      <c r="F8" s="248"/>
    </row>
    <row r="9" spans="1:6" x14ac:dyDescent="0.25">
      <c r="A9" s="229" t="s">
        <v>8</v>
      </c>
      <c r="B9" s="230"/>
      <c r="C9" s="231">
        <f>Eingabe!D20</f>
        <v>0</v>
      </c>
      <c r="D9" s="232"/>
      <c r="E9" s="232"/>
      <c r="F9" s="233"/>
    </row>
    <row r="10" spans="1:6" x14ac:dyDescent="0.25">
      <c r="A10" s="234" t="s">
        <v>9</v>
      </c>
      <c r="B10" s="235"/>
      <c r="C10" s="236">
        <f>Eingabe!D21</f>
        <v>0</v>
      </c>
      <c r="D10" s="237"/>
      <c r="E10" s="237"/>
      <c r="F10" s="238"/>
    </row>
    <row r="11" spans="1:6" ht="13.8" thickBot="1" x14ac:dyDescent="0.3">
      <c r="A11" s="239" t="s">
        <v>263</v>
      </c>
      <c r="B11" s="240"/>
      <c r="C11" s="241">
        <f>Eingabe!D22</f>
        <v>0</v>
      </c>
      <c r="D11" s="242"/>
      <c r="E11" s="242"/>
      <c r="F11" s="243"/>
    </row>
    <row r="12" spans="1:6" ht="13.8" thickBot="1" x14ac:dyDescent="0.3"/>
    <row r="13" spans="1:6" ht="13.8" thickBot="1" x14ac:dyDescent="0.3">
      <c r="A13" s="161" t="s">
        <v>262</v>
      </c>
      <c r="B13" s="160"/>
      <c r="C13" s="260">
        <f>Eingabe!D24</f>
        <v>0</v>
      </c>
      <c r="D13" s="261"/>
      <c r="E13" s="261"/>
      <c r="F13" s="262"/>
    </row>
    <row r="14" spans="1:6" ht="13.8" thickBot="1" x14ac:dyDescent="0.3"/>
    <row r="15" spans="1:6" ht="13.8" thickBot="1" x14ac:dyDescent="0.3">
      <c r="A15" s="159" t="s">
        <v>261</v>
      </c>
    </row>
    <row r="16" spans="1:6" ht="13.8" thickBot="1" x14ac:dyDescent="0.3">
      <c r="A16" s="158" t="s">
        <v>260</v>
      </c>
      <c r="B16" s="263">
        <f>Eingabe!C12</f>
        <v>0</v>
      </c>
      <c r="C16" s="264"/>
      <c r="D16" s="158" t="s">
        <v>259</v>
      </c>
      <c r="E16" s="265">
        <f>Eingabe!F12</f>
        <v>0</v>
      </c>
      <c r="F16" s="264"/>
    </row>
    <row r="17" spans="1:6" ht="13.8" thickBot="1" x14ac:dyDescent="0.3"/>
    <row r="18" spans="1:6" x14ac:dyDescent="0.25">
      <c r="A18" s="266" t="s">
        <v>258</v>
      </c>
      <c r="B18" s="267"/>
    </row>
    <row r="19" spans="1:6" x14ac:dyDescent="0.25">
      <c r="A19" s="157" t="s">
        <v>257</v>
      </c>
      <c r="B19" s="156"/>
      <c r="C19" s="156"/>
      <c r="D19" s="156"/>
      <c r="E19" s="156"/>
      <c r="F19" s="155"/>
    </row>
    <row r="20" spans="1:6" x14ac:dyDescent="0.25">
      <c r="A20" s="154" t="s">
        <v>256</v>
      </c>
      <c r="B20" s="153"/>
      <c r="C20" s="153"/>
      <c r="D20" s="153"/>
      <c r="E20" s="153"/>
      <c r="F20" s="152"/>
    </row>
    <row r="21" spans="1:6" x14ac:dyDescent="0.25">
      <c r="A21" s="151" t="s">
        <v>255</v>
      </c>
      <c r="B21" s="150"/>
      <c r="C21" s="150"/>
      <c r="D21" s="150"/>
      <c r="E21" s="150"/>
      <c r="F21" s="149"/>
    </row>
    <row r="23" spans="1:6" x14ac:dyDescent="0.25">
      <c r="A23" s="148" t="s">
        <v>254</v>
      </c>
      <c r="B23" s="133"/>
      <c r="C23" s="133"/>
    </row>
    <row r="24" spans="1:6" x14ac:dyDescent="0.25">
      <c r="A24" s="251">
        <f>'Berechnung BW'!D13</f>
        <v>0</v>
      </c>
      <c r="B24" s="252"/>
      <c r="C24" s="252"/>
      <c r="D24" s="252"/>
      <c r="E24" s="252"/>
      <c r="F24" s="253"/>
    </row>
    <row r="25" spans="1:6" x14ac:dyDescent="0.25">
      <c r="A25" s="254"/>
      <c r="B25" s="255"/>
      <c r="C25" s="255"/>
      <c r="D25" s="255"/>
      <c r="E25" s="255"/>
      <c r="F25" s="256"/>
    </row>
    <row r="26" spans="1:6" x14ac:dyDescent="0.25">
      <c r="A26" s="257"/>
      <c r="B26" s="258"/>
      <c r="C26" s="258"/>
      <c r="D26" s="258"/>
      <c r="E26" s="258"/>
      <c r="F26" s="259"/>
    </row>
    <row r="28" spans="1:6" ht="13.8" x14ac:dyDescent="0.3">
      <c r="A28" s="147" t="s">
        <v>150</v>
      </c>
      <c r="C28" s="145" t="s">
        <v>151</v>
      </c>
    </row>
    <row r="29" spans="1:6" ht="13.8" x14ac:dyDescent="0.3">
      <c r="A29" s="146"/>
      <c r="C29" s="145" t="s">
        <v>253</v>
      </c>
    </row>
    <row r="30" spans="1:6" ht="13.8" x14ac:dyDescent="0.3">
      <c r="A30" s="146"/>
      <c r="C30" s="145" t="s">
        <v>157</v>
      </c>
    </row>
    <row r="31" spans="1:6" ht="13.8" x14ac:dyDescent="0.3">
      <c r="C31" s="145" t="s">
        <v>267</v>
      </c>
    </row>
    <row r="32" spans="1:6" ht="13.8" x14ac:dyDescent="0.3">
      <c r="C32" s="145" t="s">
        <v>268</v>
      </c>
    </row>
    <row r="33" spans="1:3" ht="13.8" x14ac:dyDescent="0.3">
      <c r="C33" s="145"/>
    </row>
    <row r="34" spans="1:3" ht="17.399999999999999" x14ac:dyDescent="0.25">
      <c r="A34" s="144" t="s">
        <v>252</v>
      </c>
    </row>
    <row r="35" spans="1:3" ht="13.8" x14ac:dyDescent="0.25">
      <c r="A35" s="143"/>
    </row>
    <row r="36" spans="1:3" ht="13.8" x14ac:dyDescent="0.25">
      <c r="A36" s="141" t="s">
        <v>251</v>
      </c>
    </row>
    <row r="37" spans="1:3" x14ac:dyDescent="0.25">
      <c r="A37" s="139" t="s">
        <v>250</v>
      </c>
    </row>
    <row r="38" spans="1:3" x14ac:dyDescent="0.25">
      <c r="A38" s="142"/>
    </row>
    <row r="39" spans="1:3" x14ac:dyDescent="0.25">
      <c r="A39" s="140" t="s">
        <v>249</v>
      </c>
    </row>
    <row r="40" spans="1:3" x14ac:dyDescent="0.25">
      <c r="A40" s="90" t="s">
        <v>248</v>
      </c>
    </row>
    <row r="41" spans="1:3" x14ac:dyDescent="0.25">
      <c r="A41" s="90" t="s">
        <v>247</v>
      </c>
    </row>
    <row r="42" spans="1:3" x14ac:dyDescent="0.25">
      <c r="A42" s="90" t="s">
        <v>246</v>
      </c>
    </row>
    <row r="43" spans="1:3" ht="13.8" x14ac:dyDescent="0.25">
      <c r="A43" s="141"/>
    </row>
    <row r="44" spans="1:3" x14ac:dyDescent="0.25">
      <c r="A44" s="140" t="s">
        <v>245</v>
      </c>
    </row>
    <row r="45" spans="1:3" x14ac:dyDescent="0.25">
      <c r="A45" s="90" t="s">
        <v>269</v>
      </c>
    </row>
    <row r="47" spans="1:3" x14ac:dyDescent="0.25">
      <c r="A47" s="140" t="s">
        <v>244</v>
      </c>
    </row>
    <row r="48" spans="1:3" x14ac:dyDescent="0.25">
      <c r="A48" s="90" t="str">
        <f>"- für die Bauleistungen (auch Teilbauleistungen)  mit der Übernahme der Gesamtbauleistung durch den Bauherrn"</f>
        <v>- für die Bauleistungen (auch Teilbauleistungen)  mit der Übernahme der Gesamtbauleistung durch den Bauherrn</v>
      </c>
    </row>
    <row r="49" spans="1:8" x14ac:dyDescent="0.25">
      <c r="A49" s="139" t="s">
        <v>243</v>
      </c>
    </row>
    <row r="50" spans="1:8" x14ac:dyDescent="0.25">
      <c r="A50" s="90" t="s">
        <v>242</v>
      </c>
    </row>
    <row r="51" spans="1:8" x14ac:dyDescent="0.25">
      <c r="A51" s="90" t="str">
        <f>"- bei Transport von Sachen außerhalb des Versicherungsortes ab dem Aufladen auf der Baustelle"</f>
        <v>- bei Transport von Sachen außerhalb des Versicherungsortes ab dem Aufladen auf der Baustelle</v>
      </c>
    </row>
    <row r="52" spans="1:8" x14ac:dyDescent="0.25">
      <c r="A52" s="90" t="str">
        <f>"- jedenfalls mit dem vereinbarten Versicherungsablauf"</f>
        <v>- jedenfalls mit dem vereinbarten Versicherungsablauf</v>
      </c>
    </row>
    <row r="53" spans="1:8" x14ac:dyDescent="0.25">
      <c r="A53" s="90" t="str">
        <f>"- gemäß sonstigen Bestimmungen der Versicherungsbedingungen"</f>
        <v>- gemäß sonstigen Bestimmungen der Versicherungsbedingungen</v>
      </c>
    </row>
    <row r="54" spans="1:8" ht="13.8" thickBot="1" x14ac:dyDescent="0.3"/>
    <row r="55" spans="1:8" ht="18.600000000000001" thickBot="1" x14ac:dyDescent="0.3">
      <c r="A55" s="138" t="s">
        <v>241</v>
      </c>
      <c r="B55" s="137"/>
      <c r="C55" s="137"/>
      <c r="D55" s="137"/>
      <c r="E55" s="137"/>
      <c r="F55" s="136"/>
    </row>
    <row r="57" spans="1:8" x14ac:dyDescent="0.25">
      <c r="A57" s="135" t="s">
        <v>240</v>
      </c>
      <c r="B57" s="134"/>
      <c r="C57" s="270">
        <f>'Berechnung BW'!D19+'Berechnung BW'!D23</f>
        <v>0</v>
      </c>
      <c r="D57" s="271"/>
      <c r="E57" s="271"/>
      <c r="F57" s="272"/>
    </row>
    <row r="58" spans="1:8" x14ac:dyDescent="0.25">
      <c r="A58" s="133" t="s">
        <v>239</v>
      </c>
      <c r="B58" s="133"/>
      <c r="C58" s="270">
        <f>'Berechnung BW'!D20</f>
        <v>0</v>
      </c>
      <c r="D58" s="271"/>
      <c r="E58" s="271"/>
      <c r="F58" s="272"/>
    </row>
    <row r="60" spans="1:8" x14ac:dyDescent="0.25">
      <c r="A60" s="133" t="s">
        <v>238</v>
      </c>
      <c r="B60" s="133"/>
      <c r="C60" s="273" t="s">
        <v>266</v>
      </c>
      <c r="D60" s="274"/>
      <c r="E60" s="274"/>
      <c r="F60" s="275"/>
    </row>
    <row r="62" spans="1:8" x14ac:dyDescent="0.25">
      <c r="A62" s="133" t="s">
        <v>237</v>
      </c>
      <c r="B62" s="133"/>
      <c r="C62" s="249" t="s">
        <v>236</v>
      </c>
      <c r="D62" s="276"/>
      <c r="E62" s="276"/>
      <c r="F62" s="250"/>
      <c r="G62" s="249" t="s">
        <v>156</v>
      </c>
      <c r="H62" s="250"/>
    </row>
    <row r="63" spans="1:8" x14ac:dyDescent="0.25">
      <c r="A63" s="126" t="s">
        <v>235</v>
      </c>
      <c r="B63" s="120"/>
      <c r="C63" s="119"/>
      <c r="D63" s="126" t="s">
        <v>234</v>
      </c>
      <c r="E63" s="120"/>
      <c r="F63" s="119"/>
      <c r="G63" s="126" t="s">
        <v>266</v>
      </c>
      <c r="H63" s="119"/>
    </row>
    <row r="64" spans="1:8" x14ac:dyDescent="0.25">
      <c r="A64" s="125" t="s">
        <v>233</v>
      </c>
      <c r="B64" s="117"/>
      <c r="C64" s="116"/>
      <c r="D64" s="125"/>
      <c r="E64" s="117"/>
      <c r="F64" s="116"/>
      <c r="G64" s="125"/>
      <c r="H64" s="116"/>
    </row>
    <row r="65" spans="1:8" x14ac:dyDescent="0.25">
      <c r="A65" s="131" t="s">
        <v>232</v>
      </c>
      <c r="B65" s="132"/>
      <c r="C65" s="130"/>
      <c r="D65" s="131" t="s">
        <v>270</v>
      </c>
      <c r="E65" s="132"/>
      <c r="F65" s="130"/>
      <c r="G65" s="132"/>
      <c r="H65" s="130"/>
    </row>
    <row r="66" spans="1:8" x14ac:dyDescent="0.25">
      <c r="A66" s="131" t="s">
        <v>231</v>
      </c>
      <c r="B66" s="132"/>
      <c r="C66" s="130"/>
      <c r="D66" s="125" t="s">
        <v>230</v>
      </c>
      <c r="E66" s="117"/>
      <c r="F66" s="116"/>
      <c r="G66" s="131"/>
      <c r="H66" s="130"/>
    </row>
    <row r="67" spans="1:8" x14ac:dyDescent="0.25">
      <c r="A67" s="126" t="s">
        <v>229</v>
      </c>
      <c r="B67" s="120"/>
      <c r="C67" s="119"/>
      <c r="D67" s="126" t="s">
        <v>289</v>
      </c>
      <c r="E67" s="120"/>
      <c r="F67" s="119"/>
      <c r="G67" s="126" t="s">
        <v>280</v>
      </c>
      <c r="H67" s="119"/>
    </row>
    <row r="68" spans="1:8" x14ac:dyDescent="0.25">
      <c r="A68" s="128" t="s">
        <v>228</v>
      </c>
      <c r="C68" s="127"/>
      <c r="D68" s="128" t="s">
        <v>290</v>
      </c>
      <c r="F68" s="127"/>
      <c r="G68" s="128"/>
      <c r="H68" s="127"/>
    </row>
    <row r="69" spans="1:8" x14ac:dyDescent="0.25">
      <c r="A69" s="126" t="s">
        <v>227</v>
      </c>
      <c r="B69" s="120"/>
      <c r="C69" s="120"/>
      <c r="D69" s="126"/>
      <c r="E69" s="120"/>
      <c r="F69" s="120"/>
      <c r="G69" s="126" t="s">
        <v>281</v>
      </c>
      <c r="H69" s="119"/>
    </row>
    <row r="70" spans="1:8" x14ac:dyDescent="0.25">
      <c r="A70" s="125"/>
      <c r="B70" s="117"/>
      <c r="C70" s="117"/>
      <c r="D70" s="125"/>
      <c r="E70" s="117"/>
      <c r="F70" s="117"/>
      <c r="G70" s="125" t="s">
        <v>282</v>
      </c>
      <c r="H70" s="116"/>
    </row>
    <row r="71" spans="1:8" x14ac:dyDescent="0.25">
      <c r="A71" s="162" t="s">
        <v>271</v>
      </c>
      <c r="B71" s="120"/>
      <c r="C71" s="120"/>
      <c r="D71" s="126"/>
      <c r="E71" s="120"/>
      <c r="F71" s="119"/>
      <c r="G71" s="120"/>
      <c r="H71" s="119"/>
    </row>
    <row r="72" spans="1:8" x14ac:dyDescent="0.25">
      <c r="A72" s="128" t="s">
        <v>272</v>
      </c>
      <c r="D72" s="128"/>
      <c r="F72" s="127"/>
      <c r="H72" s="127"/>
    </row>
    <row r="73" spans="1:8" x14ac:dyDescent="0.25">
      <c r="A73" s="128" t="s">
        <v>273</v>
      </c>
      <c r="D73" s="128"/>
      <c r="F73" s="127"/>
      <c r="H73" s="127"/>
    </row>
    <row r="74" spans="1:8" x14ac:dyDescent="0.25">
      <c r="A74" s="128" t="s">
        <v>274</v>
      </c>
      <c r="D74" s="129">
        <f>'Berechnung BW'!D30</f>
        <v>0</v>
      </c>
      <c r="F74" s="127"/>
      <c r="G74" s="90" t="s">
        <v>266</v>
      </c>
      <c r="H74" s="127"/>
    </row>
    <row r="75" spans="1:8" x14ac:dyDescent="0.25">
      <c r="A75" s="128" t="s">
        <v>294</v>
      </c>
      <c r="D75" s="128" t="s">
        <v>226</v>
      </c>
      <c r="F75" s="127"/>
      <c r="H75" s="127"/>
    </row>
    <row r="76" spans="1:8" x14ac:dyDescent="0.25">
      <c r="A76" s="128" t="s">
        <v>295</v>
      </c>
      <c r="D76" s="128"/>
      <c r="F76" s="127"/>
      <c r="H76" s="127"/>
    </row>
    <row r="77" spans="1:8" x14ac:dyDescent="0.25">
      <c r="A77" s="128" t="s">
        <v>275</v>
      </c>
      <c r="D77" s="128"/>
      <c r="F77" s="127"/>
      <c r="H77" s="127"/>
    </row>
    <row r="78" spans="1:8" x14ac:dyDescent="0.25">
      <c r="A78" s="128" t="s">
        <v>276</v>
      </c>
      <c r="D78" s="128"/>
      <c r="F78" s="127"/>
      <c r="H78" s="127"/>
    </row>
    <row r="79" spans="1:8" x14ac:dyDescent="0.25">
      <c r="A79" s="128" t="s">
        <v>277</v>
      </c>
      <c r="D79" s="128"/>
      <c r="F79" s="127"/>
      <c r="H79" s="127"/>
    </row>
    <row r="80" spans="1:8" x14ac:dyDescent="0.25">
      <c r="A80" s="128" t="s">
        <v>278</v>
      </c>
      <c r="D80" s="128"/>
      <c r="F80" s="127"/>
      <c r="H80" s="127"/>
    </row>
    <row r="81" spans="1:8" x14ac:dyDescent="0.25">
      <c r="A81" s="125" t="s">
        <v>279</v>
      </c>
      <c r="B81" s="117"/>
      <c r="C81" s="117"/>
      <c r="D81" s="125"/>
      <c r="E81" s="117"/>
      <c r="F81" s="116"/>
      <c r="G81" s="117"/>
      <c r="H81" s="116"/>
    </row>
    <row r="82" spans="1:8" x14ac:dyDescent="0.25">
      <c r="A82" s="126" t="s">
        <v>49</v>
      </c>
      <c r="B82" s="120"/>
      <c r="C82" s="119"/>
      <c r="D82" s="129">
        <f>'Berechnung BW'!D26</f>
        <v>0</v>
      </c>
      <c r="E82" s="120"/>
      <c r="F82" s="119"/>
      <c r="G82" s="126" t="str">
        <f>IF(A83="","10%, min EUR 2.500,00","10%, min EUR 5.000,00")</f>
        <v>10%, min EUR 2.500,00</v>
      </c>
      <c r="H82" s="119"/>
    </row>
    <row r="83" spans="1:8" x14ac:dyDescent="0.25">
      <c r="A83" s="125" t="str">
        <f>IF('Berechnung BW'!C27="gewählt","inkl. Zusatzdeckung Witterungseinflüsse","")</f>
        <v/>
      </c>
      <c r="B83" s="117"/>
      <c r="C83" s="116"/>
      <c r="D83" s="125"/>
      <c r="E83" s="117"/>
      <c r="F83" s="116"/>
      <c r="G83" s="125"/>
      <c r="H83" s="116"/>
    </row>
    <row r="84" spans="1:8" x14ac:dyDescent="0.25">
      <c r="A84" s="126" t="s">
        <v>225</v>
      </c>
      <c r="B84" s="120"/>
      <c r="C84" s="119"/>
      <c r="D84" s="126" t="s">
        <v>215</v>
      </c>
      <c r="E84" s="120"/>
      <c r="F84" s="119"/>
      <c r="G84" s="126" t="s">
        <v>266</v>
      </c>
      <c r="H84" s="119"/>
    </row>
    <row r="85" spans="1:8" x14ac:dyDescent="0.25">
      <c r="A85" s="125" t="s">
        <v>224</v>
      </c>
      <c r="B85" s="117"/>
      <c r="C85" s="116"/>
      <c r="D85" s="125"/>
      <c r="E85" s="117"/>
      <c r="F85" s="116"/>
      <c r="G85" s="125"/>
      <c r="H85" s="116"/>
    </row>
    <row r="86" spans="1:8" x14ac:dyDescent="0.25">
      <c r="A86" s="131" t="s">
        <v>223</v>
      </c>
      <c r="B86" s="132"/>
      <c r="C86" s="130"/>
      <c r="D86" s="131" t="s">
        <v>215</v>
      </c>
      <c r="E86" s="132"/>
      <c r="F86" s="130"/>
      <c r="G86" s="126" t="s">
        <v>266</v>
      </c>
      <c r="H86" s="130"/>
    </row>
    <row r="87" spans="1:8" x14ac:dyDescent="0.25">
      <c r="A87" s="126" t="s">
        <v>222</v>
      </c>
      <c r="B87" s="120"/>
      <c r="C87" s="119"/>
      <c r="D87" s="129">
        <f>'Berechnung BW'!D28</f>
        <v>0</v>
      </c>
      <c r="E87" s="120"/>
      <c r="F87" s="119"/>
      <c r="G87" s="126" t="s">
        <v>266</v>
      </c>
      <c r="H87" s="119"/>
    </row>
    <row r="88" spans="1:8" x14ac:dyDescent="0.25">
      <c r="A88" s="125" t="s">
        <v>221</v>
      </c>
      <c r="B88" s="117"/>
      <c r="C88" s="116"/>
      <c r="D88" s="125"/>
      <c r="E88" s="117"/>
      <c r="F88" s="116"/>
      <c r="G88" s="125"/>
      <c r="H88" s="116"/>
    </row>
    <row r="89" spans="1:8" x14ac:dyDescent="0.25">
      <c r="A89" s="126" t="s">
        <v>220</v>
      </c>
      <c r="B89" s="120"/>
      <c r="C89" s="119"/>
      <c r="D89" s="126"/>
      <c r="E89" s="120"/>
      <c r="F89" s="119"/>
      <c r="G89" s="126"/>
      <c r="H89" s="119"/>
    </row>
    <row r="90" spans="1:8" x14ac:dyDescent="0.25">
      <c r="A90" s="128" t="s">
        <v>219</v>
      </c>
      <c r="C90" s="127"/>
      <c r="D90" s="129">
        <f>'Berechnung BW'!D24</f>
        <v>0</v>
      </c>
      <c r="F90" s="127"/>
      <c r="G90" s="128"/>
      <c r="H90" s="127"/>
    </row>
    <row r="91" spans="1:8" x14ac:dyDescent="0.25">
      <c r="A91" s="125" t="s">
        <v>218</v>
      </c>
      <c r="B91" s="117"/>
      <c r="C91" s="116"/>
      <c r="D91" s="125" t="s">
        <v>217</v>
      </c>
      <c r="E91" s="117"/>
      <c r="F91" s="116"/>
      <c r="G91" s="125" t="s">
        <v>287</v>
      </c>
      <c r="H91" s="116"/>
    </row>
    <row r="92" spans="1:8" x14ac:dyDescent="0.25">
      <c r="A92" s="126" t="s">
        <v>291</v>
      </c>
      <c r="B92" s="120"/>
      <c r="C92" s="119"/>
      <c r="D92" s="126"/>
      <c r="E92" s="120"/>
      <c r="F92" s="119"/>
      <c r="G92" s="126"/>
      <c r="H92" s="119"/>
    </row>
    <row r="93" spans="1:8" x14ac:dyDescent="0.25">
      <c r="A93" s="125" t="s">
        <v>292</v>
      </c>
      <c r="B93" s="117"/>
      <c r="C93" s="116"/>
      <c r="D93" s="125" t="s">
        <v>293</v>
      </c>
      <c r="E93" s="117"/>
      <c r="F93" s="116"/>
      <c r="G93" s="125" t="s">
        <v>287</v>
      </c>
      <c r="H93" s="116"/>
    </row>
    <row r="94" spans="1:8" x14ac:dyDescent="0.25">
      <c r="A94" s="128" t="s">
        <v>288</v>
      </c>
      <c r="B94" s="163"/>
      <c r="C94" s="127"/>
      <c r="D94" s="129">
        <f>IF(C57&gt;2000000,30000,10000)*Settings!E31</f>
        <v>0</v>
      </c>
      <c r="E94" s="163"/>
      <c r="F94" s="127"/>
      <c r="G94" s="90" t="str">
        <f>IF(D94=0,"nicht versichert","EUR 1.500,00")</f>
        <v>nicht versichert</v>
      </c>
      <c r="H94" s="127"/>
    </row>
    <row r="95" spans="1:8" x14ac:dyDescent="0.25">
      <c r="A95" s="126" t="s">
        <v>216</v>
      </c>
      <c r="B95" s="120"/>
      <c r="C95" s="119"/>
      <c r="D95" s="126" t="s">
        <v>215</v>
      </c>
      <c r="E95" s="120"/>
      <c r="F95" s="119"/>
      <c r="G95" s="126" t="s">
        <v>214</v>
      </c>
      <c r="H95" s="119"/>
    </row>
    <row r="96" spans="1:8" x14ac:dyDescent="0.25">
      <c r="A96" s="125" t="s">
        <v>213</v>
      </c>
      <c r="B96" s="117"/>
      <c r="C96" s="116"/>
      <c r="D96" s="125"/>
      <c r="E96" s="117"/>
      <c r="F96" s="116"/>
      <c r="G96" s="125"/>
      <c r="H96" s="116"/>
    </row>
    <row r="97" spans="1:8" ht="13.8" thickBot="1" x14ac:dyDescent="0.3"/>
    <row r="98" spans="1:8" ht="16.2" thickBot="1" x14ac:dyDescent="0.35">
      <c r="A98" s="124" t="s">
        <v>212</v>
      </c>
      <c r="B98" s="123"/>
      <c r="C98" s="122"/>
      <c r="D98" s="268">
        <f>'Berechnung BW'!F33</f>
        <v>666</v>
      </c>
      <c r="E98" s="269"/>
    </row>
    <row r="99" spans="1:8" ht="13.5" customHeight="1" x14ac:dyDescent="0.25"/>
    <row r="101" spans="1:8" x14ac:dyDescent="0.25">
      <c r="A101" s="90" t="s">
        <v>211</v>
      </c>
    </row>
    <row r="103" spans="1:8" x14ac:dyDescent="0.25">
      <c r="A103" s="121" t="s">
        <v>210</v>
      </c>
      <c r="B103" s="120"/>
      <c r="C103" s="120"/>
      <c r="D103" s="120"/>
      <c r="E103" s="120"/>
      <c r="F103" s="120"/>
      <c r="G103" s="120"/>
      <c r="H103" s="119"/>
    </row>
    <row r="104" spans="1:8" x14ac:dyDescent="0.25">
      <c r="A104" s="118" t="s">
        <v>209</v>
      </c>
      <c r="B104" s="117"/>
      <c r="C104" s="117"/>
      <c r="D104" s="117"/>
      <c r="E104" s="117"/>
      <c r="F104" s="117"/>
      <c r="G104" s="117"/>
      <c r="H104" s="116"/>
    </row>
    <row r="107" spans="1:8" x14ac:dyDescent="0.25">
      <c r="A107" s="97" t="s">
        <v>208</v>
      </c>
    </row>
    <row r="108" spans="1:8" x14ac:dyDescent="0.25">
      <c r="A108" s="90" t="s">
        <v>207</v>
      </c>
    </row>
    <row r="109" spans="1:8" x14ac:dyDescent="0.25">
      <c r="A109" s="90" t="s">
        <v>206</v>
      </c>
    </row>
    <row r="111" spans="1:8" x14ac:dyDescent="0.25">
      <c r="A111" s="97" t="s">
        <v>205</v>
      </c>
    </row>
    <row r="112" spans="1:8" x14ac:dyDescent="0.25">
      <c r="A112" s="90" t="s">
        <v>204</v>
      </c>
    </row>
    <row r="114" spans="1:1" x14ac:dyDescent="0.25">
      <c r="A114" s="115" t="s">
        <v>203</v>
      </c>
    </row>
    <row r="115" spans="1:1" x14ac:dyDescent="0.25">
      <c r="A115" s="90" t="s">
        <v>202</v>
      </c>
    </row>
    <row r="116" spans="1:1" x14ac:dyDescent="0.25">
      <c r="A116" s="90" t="s">
        <v>283</v>
      </c>
    </row>
    <row r="117" spans="1:1" x14ac:dyDescent="0.25">
      <c r="A117" s="90" t="s">
        <v>201</v>
      </c>
    </row>
    <row r="118" spans="1:1" x14ac:dyDescent="0.25">
      <c r="A118" s="90" t="s">
        <v>200</v>
      </c>
    </row>
    <row r="119" spans="1:1" x14ac:dyDescent="0.25">
      <c r="A119" s="90" t="s">
        <v>199</v>
      </c>
    </row>
    <row r="120" spans="1:1" x14ac:dyDescent="0.25">
      <c r="A120" s="90" t="s">
        <v>198</v>
      </c>
    </row>
    <row r="121" spans="1:1" x14ac:dyDescent="0.25">
      <c r="A121" s="90" t="s">
        <v>197</v>
      </c>
    </row>
    <row r="122" spans="1:1" x14ac:dyDescent="0.25">
      <c r="A122" s="90" t="s">
        <v>196</v>
      </c>
    </row>
    <row r="124" spans="1:1" x14ac:dyDescent="0.25">
      <c r="A124" s="115" t="s">
        <v>195</v>
      </c>
    </row>
    <row r="125" spans="1:1" x14ac:dyDescent="0.25">
      <c r="A125" s="90" t="s">
        <v>194</v>
      </c>
    </row>
    <row r="126" spans="1:1" x14ac:dyDescent="0.25">
      <c r="A126" s="90" t="s">
        <v>193</v>
      </c>
    </row>
    <row r="127" spans="1:1" x14ac:dyDescent="0.25">
      <c r="A127" s="90" t="s">
        <v>192</v>
      </c>
    </row>
    <row r="128" spans="1:1" x14ac:dyDescent="0.25">
      <c r="A128" s="90" t="s">
        <v>191</v>
      </c>
    </row>
    <row r="129" spans="1:8" x14ac:dyDescent="0.25">
      <c r="A129" s="90" t="s">
        <v>190</v>
      </c>
    </row>
    <row r="130" spans="1:8" x14ac:dyDescent="0.25">
      <c r="A130" s="90" t="s">
        <v>284</v>
      </c>
    </row>
    <row r="131" spans="1:8" x14ac:dyDescent="0.25">
      <c r="A131" s="90" t="s">
        <v>189</v>
      </c>
    </row>
    <row r="132" spans="1:8" x14ac:dyDescent="0.25">
      <c r="A132" s="90" t="s">
        <v>188</v>
      </c>
    </row>
    <row r="133" spans="1:8" x14ac:dyDescent="0.25">
      <c r="A133" s="90" t="s">
        <v>187</v>
      </c>
    </row>
    <row r="134" spans="1:8" x14ac:dyDescent="0.25">
      <c r="A134" s="90" t="s">
        <v>186</v>
      </c>
    </row>
    <row r="135" spans="1:8" x14ac:dyDescent="0.25">
      <c r="A135" s="90" t="s">
        <v>185</v>
      </c>
    </row>
    <row r="136" spans="1:8" x14ac:dyDescent="0.25">
      <c r="A136" s="90" t="s">
        <v>184</v>
      </c>
    </row>
    <row r="137" spans="1:8" x14ac:dyDescent="0.25">
      <c r="A137" s="90" t="s">
        <v>183</v>
      </c>
    </row>
    <row r="138" spans="1:8" x14ac:dyDescent="0.25">
      <c r="A138" s="90" t="s">
        <v>182</v>
      </c>
    </row>
    <row r="139" spans="1:8" x14ac:dyDescent="0.25">
      <c r="A139" s="90" t="s">
        <v>285</v>
      </c>
    </row>
    <row r="140" spans="1:8" x14ac:dyDescent="0.25">
      <c r="A140" s="90" t="s">
        <v>286</v>
      </c>
    </row>
    <row r="142" spans="1:8" s="114" customFormat="1" ht="13.8" x14ac:dyDescent="0.25">
      <c r="A142" s="114" t="s">
        <v>181</v>
      </c>
    </row>
    <row r="143" spans="1:8" ht="22.5" customHeight="1" x14ac:dyDescent="0.25"/>
    <row r="144" spans="1:8" ht="13.8" thickBot="1" x14ac:dyDescent="0.3">
      <c r="A144" s="97" t="s">
        <v>180</v>
      </c>
      <c r="B144" s="113"/>
      <c r="C144" s="113"/>
      <c r="D144" s="113"/>
      <c r="E144" s="113"/>
      <c r="F144" s="113"/>
      <c r="G144" s="113"/>
      <c r="H144" s="113"/>
    </row>
    <row r="145" spans="1:8" ht="27" customHeight="1" x14ac:dyDescent="0.25"/>
    <row r="146" spans="1:8" ht="13.8" thickBot="1" x14ac:dyDescent="0.3">
      <c r="A146" s="97" t="s">
        <v>179</v>
      </c>
      <c r="B146" s="113"/>
      <c r="C146" s="113"/>
      <c r="D146" s="113"/>
      <c r="E146" s="113"/>
      <c r="F146" s="113"/>
      <c r="G146" s="113"/>
      <c r="H146" s="113"/>
    </row>
    <row r="148" spans="1:8" x14ac:dyDescent="0.25">
      <c r="A148" s="112" t="s">
        <v>178</v>
      </c>
    </row>
    <row r="149" spans="1:8" x14ac:dyDescent="0.25">
      <c r="A149" s="112" t="s">
        <v>177</v>
      </c>
    </row>
    <row r="150" spans="1:8" x14ac:dyDescent="0.25">
      <c r="A150" s="112" t="s">
        <v>176</v>
      </c>
    </row>
  </sheetData>
  <sheetProtection algorithmName="SHA-512" hashValue="VdmLZxZ07f35m4tJfW96gBOd2IsM+s0GxiMk4+csDBjjoGqIvRZjdS9OU6Ok/Q04TSAbBpr59BwN7Y7G6f4qiQ==" saltValue="7YLg+yCNTpID/djZaZbVCQ==" spinCount="100000" sheet="1" objects="1" scenarios="1"/>
  <mergeCells count="25">
    <mergeCell ref="D98:E98"/>
    <mergeCell ref="C57:F57"/>
    <mergeCell ref="C58:F58"/>
    <mergeCell ref="C60:F60"/>
    <mergeCell ref="C62:F62"/>
    <mergeCell ref="G62:H62"/>
    <mergeCell ref="A24:F26"/>
    <mergeCell ref="A11:B11"/>
    <mergeCell ref="C11:F11"/>
    <mergeCell ref="C13:F13"/>
    <mergeCell ref="B16:C16"/>
    <mergeCell ref="E16:F16"/>
    <mergeCell ref="A18:B18"/>
    <mergeCell ref="A7:B7"/>
    <mergeCell ref="A8:F8"/>
    <mergeCell ref="A9:B9"/>
    <mergeCell ref="C9:F9"/>
    <mergeCell ref="A10:B10"/>
    <mergeCell ref="C10:F10"/>
    <mergeCell ref="A3:B3"/>
    <mergeCell ref="C3:F3"/>
    <mergeCell ref="A4:B4"/>
    <mergeCell ref="C4:F4"/>
    <mergeCell ref="A5:B5"/>
    <mergeCell ref="C5:F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headerFooter>
    <oddFooter>&amp;L&amp;1#&amp;"Calibri"&amp;10&amp;K000000INTERNAL USE ONLY</oddFooter>
  </headerFooter>
  <rowBreaks count="5" manualBreakCount="5">
    <brk id="54" max="16383" man="1"/>
    <brk id="106" max="7" man="1"/>
    <brk id="152" max="7" man="1"/>
    <brk id="219" max="7" man="1"/>
    <brk id="286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I3"/>
  <sheetViews>
    <sheetView zoomScaleNormal="100" workbookViewId="0">
      <selection activeCell="I3" sqref="I3"/>
    </sheetView>
  </sheetViews>
  <sheetFormatPr baseColWidth="10" defaultColWidth="11.5546875" defaultRowHeight="13.2" x14ac:dyDescent="0.25"/>
  <cols>
    <col min="1" max="16384" width="11.5546875" style="90"/>
  </cols>
  <sheetData>
    <row r="3" spans="9:9" x14ac:dyDescent="0.25">
      <c r="I3" s="89" t="s">
        <v>143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Footer>&amp;L&amp;1#&amp;"Calibri"&amp;10&amp;K000000INTERNAL USE ONLY</oddFooter>
  </headerFooter>
  <drawing r:id="rId2"/>
  <legacyDrawing r:id="rId3"/>
  <oleObjects>
    <mc:AlternateContent xmlns:mc="http://schemas.openxmlformats.org/markup-compatibility/2006">
      <mc:Choice Requires="x14">
        <oleObject progId="AcroExch.Document.DC" shapeId="7169" r:id="rId4">
          <objectPr locked="0" defaultSize="0" r:id="rId5">
            <anchor moveWithCells="1">
              <from>
                <xdr:col>0</xdr:col>
                <xdr:colOff>30480</xdr:colOff>
                <xdr:row>0</xdr:row>
                <xdr:rowOff>30480</xdr:rowOff>
              </from>
              <to>
                <xdr:col>7</xdr:col>
                <xdr:colOff>297180</xdr:colOff>
                <xdr:row>49</xdr:row>
                <xdr:rowOff>114300</xdr:rowOff>
              </to>
            </anchor>
          </objectPr>
        </oleObject>
      </mc:Choice>
      <mc:Fallback>
        <oleObject progId="AcroExch.Document.DC" shapeId="716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2:K56"/>
  <sheetViews>
    <sheetView topLeftCell="A10" workbookViewId="0">
      <selection activeCell="D35" sqref="D35"/>
    </sheetView>
  </sheetViews>
  <sheetFormatPr baseColWidth="10" defaultColWidth="11.44140625" defaultRowHeight="13.8" x14ac:dyDescent="0.3"/>
  <cols>
    <col min="1" max="1" width="20.109375" style="8" bestFit="1" customWidth="1"/>
    <col min="2" max="2" width="3" style="8" customWidth="1"/>
    <col min="3" max="3" width="22.33203125" style="8" customWidth="1"/>
    <col min="4" max="4" width="14.44140625" style="8" customWidth="1"/>
    <col min="5" max="5" width="15.109375" style="8" bestFit="1" customWidth="1"/>
    <col min="6" max="6" width="15" style="8" customWidth="1"/>
    <col min="7" max="7" width="13.33203125" style="8" customWidth="1"/>
    <col min="8" max="8" width="15.109375" style="8" bestFit="1" customWidth="1"/>
    <col min="9" max="16384" width="11.44140625" style="8"/>
  </cols>
  <sheetData>
    <row r="2" spans="1:11" x14ac:dyDescent="0.3">
      <c r="C2" s="8" t="s">
        <v>11</v>
      </c>
      <c r="E2" s="8">
        <f>IF(C2=Eingabe!$D$7,1,0)</f>
        <v>0</v>
      </c>
    </row>
    <row r="3" spans="1:11" x14ac:dyDescent="0.3">
      <c r="C3" s="8" t="s">
        <v>12</v>
      </c>
      <c r="E3" s="8">
        <f>IF(C3=Eingabe!$D$7,1,0)</f>
        <v>1</v>
      </c>
    </row>
    <row r="4" spans="1:11" x14ac:dyDescent="0.3">
      <c r="C4" s="8" t="s">
        <v>15</v>
      </c>
      <c r="E4" s="8">
        <f>IF(C4=Eingabe!$D$8,1,0)</f>
        <v>1</v>
      </c>
    </row>
    <row r="5" spans="1:11" x14ac:dyDescent="0.3">
      <c r="C5" s="8" t="s">
        <v>16</v>
      </c>
      <c r="E5" s="8">
        <f>IF(C5=Eingabe!$D$8,1,0)</f>
        <v>0</v>
      </c>
    </row>
    <row r="6" spans="1:11" x14ac:dyDescent="0.3">
      <c r="C6" s="8" t="s">
        <v>28</v>
      </c>
      <c r="E6" s="8">
        <f>IF(C6=Eingabe!$D$17,1,0)</f>
        <v>1</v>
      </c>
    </row>
    <row r="7" spans="1:11" x14ac:dyDescent="0.3">
      <c r="C7" s="8" t="s">
        <v>172</v>
      </c>
      <c r="E7" s="8">
        <f>IF(C7=Eingabe!$D$17,1,0)</f>
        <v>0</v>
      </c>
    </row>
    <row r="8" spans="1:11" x14ac:dyDescent="0.3">
      <c r="C8" s="8" t="s">
        <v>144</v>
      </c>
      <c r="E8" s="8">
        <f>IF(C8=Eingabe!$D$17,1,0)</f>
        <v>0</v>
      </c>
    </row>
    <row r="9" spans="1:11" x14ac:dyDescent="0.3">
      <c r="C9" s="8" t="s">
        <v>6</v>
      </c>
      <c r="E9" s="8">
        <f>IF(C9=Eingabe!$D$29,1,0)</f>
        <v>1</v>
      </c>
      <c r="F9" s="8" t="s">
        <v>139</v>
      </c>
    </row>
    <row r="10" spans="1:11" x14ac:dyDescent="0.3">
      <c r="C10" s="8" t="s">
        <v>27</v>
      </c>
      <c r="E10" s="8">
        <f>IF(C10=Eingabe!$D$29,1,0)</f>
        <v>0</v>
      </c>
      <c r="F10" s="8" t="s">
        <v>140</v>
      </c>
    </row>
    <row r="11" spans="1:11" x14ac:dyDescent="0.3">
      <c r="A11" s="8" t="s">
        <v>20</v>
      </c>
      <c r="C11" s="8">
        <v>24</v>
      </c>
      <c r="D11" s="91">
        <f>EDATE(Eingabe!C12,Settings!C11)</f>
        <v>731</v>
      </c>
      <c r="E11" s="21" t="e">
        <f>DATEDIF(Eingabe!C12,Eingabe!F12-1,"m")+1</f>
        <v>#NUM!</v>
      </c>
    </row>
    <row r="12" spans="1:11" x14ac:dyDescent="0.3">
      <c r="A12" s="8" t="s">
        <v>21</v>
      </c>
      <c r="C12" s="18">
        <v>10000000</v>
      </c>
      <c r="E12" s="18">
        <f>Eingabe!D24</f>
        <v>0</v>
      </c>
      <c r="G12" s="8">
        <v>11</v>
      </c>
      <c r="H12" s="8" t="str">
        <f>" &gt;&gt;XBWWKOX"</f>
        <v xml:space="preserve"> &gt;&gt;XBWWKOX</v>
      </c>
      <c r="J12" s="8" t="s">
        <v>297</v>
      </c>
    </row>
    <row r="13" spans="1:11" x14ac:dyDescent="0.3">
      <c r="C13" s="8" t="s">
        <v>33</v>
      </c>
      <c r="E13" s="8">
        <f>IF('Berechnung BW'!G5="Ja",1,0)</f>
        <v>0</v>
      </c>
      <c r="G13" s="8">
        <v>12</v>
      </c>
      <c r="H13" s="8" t="str">
        <f>" &gt;&gt;XBWWKOXS"</f>
        <v xml:space="preserve"> &gt;&gt;XBWWKOXS</v>
      </c>
      <c r="J13" s="8" t="s">
        <v>298</v>
      </c>
    </row>
    <row r="14" spans="1:11" x14ac:dyDescent="0.3">
      <c r="C14" s="8" t="s">
        <v>34</v>
      </c>
      <c r="E14" s="8">
        <f>IF('Berechnung BW'!G6="Ja",1,0)</f>
        <v>0</v>
      </c>
      <c r="G14" s="8">
        <v>14</v>
      </c>
      <c r="H14" s="8" t="str">
        <f>" &gt;&gt;XBWWKOXSW"</f>
        <v xml:space="preserve"> &gt;&gt;XBWWKOXSW</v>
      </c>
      <c r="J14" s="8" t="s">
        <v>299</v>
      </c>
    </row>
    <row r="15" spans="1:11" x14ac:dyDescent="0.3">
      <c r="C15" s="8" t="s">
        <v>35</v>
      </c>
      <c r="E15" s="8">
        <f>IF('Berechnung BW'!G7="Ja",1,0)</f>
        <v>0</v>
      </c>
      <c r="G15" s="8">
        <v>21</v>
      </c>
      <c r="H15" s="8" t="str">
        <f>" &gt;&gt;XBWWKOA"</f>
        <v xml:space="preserve"> &gt;&gt;XBWWKOA</v>
      </c>
    </row>
    <row r="16" spans="1:11" x14ac:dyDescent="0.3">
      <c r="C16" s="8" t="s">
        <v>36</v>
      </c>
      <c r="E16" s="8">
        <f>IF('Berechnung BW'!G8="Ja",1,0)</f>
        <v>0</v>
      </c>
      <c r="G16" s="8">
        <v>22</v>
      </c>
      <c r="H16" s="8" t="str">
        <f>" &gt;&gt;XBWWKOAS"</f>
        <v xml:space="preserve"> &gt;&gt;XBWWKOAS</v>
      </c>
      <c r="J16" s="8" t="s">
        <v>301</v>
      </c>
      <c r="K16" s="8" t="s">
        <v>302</v>
      </c>
    </row>
    <row r="17" spans="1:11" x14ac:dyDescent="0.3">
      <c r="C17" s="8" t="s">
        <v>37</v>
      </c>
      <c r="E17" s="8">
        <f>IF('Berechnung BW'!G9="Ja",1,0)</f>
        <v>0</v>
      </c>
      <c r="G17" s="8">
        <v>24</v>
      </c>
      <c r="H17" s="8" t="str">
        <f>" &gt;&gt;XBWWKOASW"</f>
        <v xml:space="preserve"> &gt;&gt;XBWWKOASW</v>
      </c>
      <c r="K17" s="8" t="s">
        <v>303</v>
      </c>
    </row>
    <row r="18" spans="1:11" x14ac:dyDescent="0.3">
      <c r="C18" s="8" t="s">
        <v>38</v>
      </c>
      <c r="E18" s="8">
        <f>IF('Berechnung BW'!G10="Ja",1,0)</f>
        <v>0</v>
      </c>
    </row>
    <row r="19" spans="1:11" x14ac:dyDescent="0.3">
      <c r="C19" s="8" t="s">
        <v>39</v>
      </c>
      <c r="E19" s="8">
        <f>IF('Berechnung BW'!G11="Ja",1,0)</f>
        <v>0</v>
      </c>
      <c r="G19" s="8">
        <f>(E27+1)*10+E29+1+E37</f>
        <v>11</v>
      </c>
      <c r="H19" s="8" t="str">
        <f>IF(C55,VLOOKUP(G19,G12:H17,2,FALSE),"")</f>
        <v xml:space="preserve"> &gt;&gt;XBWWKOX</v>
      </c>
    </row>
    <row r="20" spans="1:11" x14ac:dyDescent="0.3">
      <c r="C20" s="8">
        <v>1000</v>
      </c>
      <c r="E20" s="8">
        <f>IF(C20='Berechnung BW'!$D$15,1,0)</f>
        <v>0</v>
      </c>
    </row>
    <row r="21" spans="1:11" x14ac:dyDescent="0.3">
      <c r="E21" s="8">
        <f>IF(C21='Berechnung BW'!$D$15,1,0)</f>
        <v>0</v>
      </c>
    </row>
    <row r="22" spans="1:11" x14ac:dyDescent="0.3">
      <c r="E22" s="8">
        <f>IF(C22='Berechnung BW'!$D$15,1,0)</f>
        <v>0</v>
      </c>
    </row>
    <row r="23" spans="1:11" x14ac:dyDescent="0.3">
      <c r="A23" s="8" t="s">
        <v>54</v>
      </c>
      <c r="C23" s="8" t="s">
        <v>142</v>
      </c>
    </row>
    <row r="24" spans="1:11" x14ac:dyDescent="0.3">
      <c r="C24" s="8" t="s">
        <v>60</v>
      </c>
      <c r="D24" s="41"/>
    </row>
    <row r="25" spans="1:11" x14ac:dyDescent="0.3">
      <c r="C25" s="8" t="s">
        <v>59</v>
      </c>
      <c r="D25" s="41"/>
    </row>
    <row r="26" spans="1:11" x14ac:dyDescent="0.3">
      <c r="C26" s="8" t="s">
        <v>55</v>
      </c>
      <c r="D26" s="18">
        <v>10000000</v>
      </c>
      <c r="E26" s="8">
        <f>('Berechnung BW'!D23&gt;0)*1</f>
        <v>0</v>
      </c>
    </row>
    <row r="27" spans="1:11" x14ac:dyDescent="0.3">
      <c r="C27" s="8" t="s">
        <v>47</v>
      </c>
      <c r="D27" s="18">
        <f>IF(E6=1,0,1000000)</f>
        <v>0</v>
      </c>
      <c r="E27" s="8">
        <f>('Berechnung BW'!D24&gt;0)*1</f>
        <v>0</v>
      </c>
    </row>
    <row r="28" spans="1:11" x14ac:dyDescent="0.3">
      <c r="D28" s="18"/>
    </row>
    <row r="29" spans="1:11" x14ac:dyDescent="0.3">
      <c r="C29" s="8" t="s">
        <v>49</v>
      </c>
      <c r="D29" s="18">
        <v>100000</v>
      </c>
      <c r="E29" s="8">
        <f>('Berechnung BW'!D26&gt;0)*1</f>
        <v>0</v>
      </c>
    </row>
    <row r="30" spans="1:11" x14ac:dyDescent="0.3">
      <c r="C30" s="8" t="s">
        <v>51</v>
      </c>
      <c r="D30" s="18">
        <v>100000</v>
      </c>
      <c r="E30" s="8">
        <f>('Berechnung BW'!D28&gt;0)*1</f>
        <v>0</v>
      </c>
    </row>
    <row r="31" spans="1:11" x14ac:dyDescent="0.3">
      <c r="C31" s="8" t="s">
        <v>50</v>
      </c>
      <c r="D31" s="18"/>
      <c r="E31" s="8">
        <f>IF('Berechnung BW'!C29="gewählt",1,0)</f>
        <v>0</v>
      </c>
    </row>
    <row r="32" spans="1:11" x14ac:dyDescent="0.3">
      <c r="A32" s="8" t="s">
        <v>52</v>
      </c>
      <c r="C32" s="8">
        <f>IF(E2=1,400,600)</f>
        <v>600</v>
      </c>
    </row>
    <row r="33" spans="1:5" x14ac:dyDescent="0.3">
      <c r="C33" s="8" t="s">
        <v>62</v>
      </c>
      <c r="E33" s="8">
        <f>(E12&lt;2000000)*1</f>
        <v>1</v>
      </c>
    </row>
    <row r="34" spans="1:5" x14ac:dyDescent="0.3">
      <c r="C34" s="8" t="s">
        <v>61</v>
      </c>
      <c r="E34" s="8">
        <f>1-E33</f>
        <v>0</v>
      </c>
    </row>
    <row r="36" spans="1:5" x14ac:dyDescent="0.3">
      <c r="A36" s="8" t="s">
        <v>152</v>
      </c>
      <c r="C36" s="8" t="s">
        <v>153</v>
      </c>
      <c r="E36" s="8">
        <f>IF(C36='Berechnung BW'!C27,1,0)</f>
        <v>1</v>
      </c>
    </row>
    <row r="37" spans="1:5" x14ac:dyDescent="0.3">
      <c r="C37" s="8" t="s">
        <v>154</v>
      </c>
      <c r="E37" s="8">
        <f>IF(C37='Berechnung BW'!C27,2,0)*E29</f>
        <v>0</v>
      </c>
    </row>
    <row r="43" spans="1:5" x14ac:dyDescent="0.3">
      <c r="C43" s="63" t="s">
        <v>91</v>
      </c>
      <c r="D43" s="63" t="s">
        <v>92</v>
      </c>
    </row>
    <row r="44" spans="1:5" x14ac:dyDescent="0.3">
      <c r="C44" s="64" t="s">
        <v>94</v>
      </c>
      <c r="D44" s="65" t="s">
        <v>95</v>
      </c>
    </row>
    <row r="45" spans="1:5" x14ac:dyDescent="0.3">
      <c r="C45" s="64" t="s">
        <v>98</v>
      </c>
      <c r="D45" s="65" t="s">
        <v>69</v>
      </c>
    </row>
    <row r="46" spans="1:5" x14ac:dyDescent="0.3">
      <c r="C46" s="64" t="s">
        <v>100</v>
      </c>
      <c r="D46" s="65" t="s">
        <v>101</v>
      </c>
    </row>
    <row r="47" spans="1:5" x14ac:dyDescent="0.3">
      <c r="C47" s="64" t="s">
        <v>103</v>
      </c>
      <c r="D47" s="65" t="s">
        <v>104</v>
      </c>
    </row>
    <row r="48" spans="1:5" x14ac:dyDescent="0.3">
      <c r="C48" s="64" t="s">
        <v>106</v>
      </c>
      <c r="D48" s="65" t="s">
        <v>107</v>
      </c>
    </row>
    <row r="49" spans="1:5" x14ac:dyDescent="0.3">
      <c r="C49" s="64" t="s">
        <v>109</v>
      </c>
      <c r="D49" s="65" t="s">
        <v>2</v>
      </c>
    </row>
    <row r="50" spans="1:5" x14ac:dyDescent="0.3">
      <c r="C50" s="64" t="s">
        <v>111</v>
      </c>
      <c r="D50" s="65" t="s">
        <v>112</v>
      </c>
    </row>
    <row r="51" spans="1:5" x14ac:dyDescent="0.3">
      <c r="C51" s="64" t="s">
        <v>114</v>
      </c>
      <c r="D51" s="71" t="s">
        <v>115</v>
      </c>
    </row>
    <row r="52" spans="1:5" x14ac:dyDescent="0.3">
      <c r="C52" s="64" t="s">
        <v>116</v>
      </c>
      <c r="D52" s="71" t="s">
        <v>117</v>
      </c>
    </row>
    <row r="54" spans="1:5" x14ac:dyDescent="0.3">
      <c r="A54" s="8" t="s">
        <v>138</v>
      </c>
      <c r="B54" s="8" t="s">
        <v>148</v>
      </c>
      <c r="C54" s="48" t="b">
        <v>0</v>
      </c>
      <c r="D54" s="49" t="b">
        <v>0</v>
      </c>
      <c r="E54" s="73" t="s">
        <v>122</v>
      </c>
    </row>
    <row r="55" spans="1:5" x14ac:dyDescent="0.3">
      <c r="B55" s="8" t="s">
        <v>146</v>
      </c>
      <c r="C55" s="48" t="b">
        <v>1</v>
      </c>
      <c r="D55" s="49" t="b">
        <v>1</v>
      </c>
      <c r="E55" s="64" t="s">
        <v>123</v>
      </c>
    </row>
    <row r="56" spans="1:5" x14ac:dyDescent="0.3">
      <c r="B56" s="8" t="s">
        <v>166</v>
      </c>
      <c r="C56" s="49"/>
      <c r="D56" s="49" t="b">
        <v>0</v>
      </c>
      <c r="E56" s="73" t="s">
        <v>124</v>
      </c>
    </row>
  </sheetData>
  <pageMargins left="0.7" right="0.7" top="0.78740157499999996" bottom="0.78740157499999996" header="0.3" footer="0.3"/>
  <pageSetup paperSize="9" orientation="portrait" r:id="rId1"/>
  <headerFooter>
    <oddFooter>&amp;L&amp;1#&amp;"Calibri"&amp;10&amp;K000000INTERNAL USE ONLY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H83"/>
  <sheetViews>
    <sheetView zoomScale="85" zoomScaleNormal="85" workbookViewId="0">
      <selection activeCell="E10" sqref="E10"/>
    </sheetView>
  </sheetViews>
  <sheetFormatPr baseColWidth="10" defaultColWidth="11.5546875" defaultRowHeight="13.2" x14ac:dyDescent="0.25"/>
  <cols>
    <col min="1" max="1" width="21.6640625" style="49" customWidth="1"/>
    <col min="2" max="2" width="36.33203125" style="49" customWidth="1"/>
    <col min="3" max="3" width="25.109375" style="49" customWidth="1"/>
    <col min="4" max="4" width="25.33203125" style="49" customWidth="1"/>
    <col min="5" max="5" width="47.6640625" style="49" bestFit="1" customWidth="1"/>
    <col min="6" max="16384" width="11.5546875" style="49"/>
  </cols>
  <sheetData>
    <row r="1" spans="1:8" ht="13.8" x14ac:dyDescent="0.25">
      <c r="A1" s="44" t="s">
        <v>64</v>
      </c>
      <c r="B1" s="45"/>
      <c r="C1" s="46"/>
      <c r="D1" s="47"/>
      <c r="E1" s="48"/>
      <c r="F1" s="48"/>
      <c r="G1" s="48"/>
      <c r="H1" s="48"/>
    </row>
    <row r="2" spans="1:8" x14ac:dyDescent="0.25">
      <c r="A2" s="47" t="s">
        <v>65</v>
      </c>
      <c r="B2" s="47" t="s">
        <v>66</v>
      </c>
      <c r="C2" s="47">
        <f>Eingabe!D3</f>
        <v>0</v>
      </c>
      <c r="D2" s="47"/>
      <c r="E2" s="48"/>
      <c r="F2" s="48"/>
      <c r="G2" s="48"/>
      <c r="H2" s="48"/>
    </row>
    <row r="3" spans="1:8" x14ac:dyDescent="0.25">
      <c r="A3" s="47"/>
      <c r="B3" s="47" t="s">
        <v>67</v>
      </c>
      <c r="C3" s="50" t="str">
        <f>Eingabe!D4&amp;", "&amp;Eingabe!D5</f>
        <v xml:space="preserve">, </v>
      </c>
      <c r="D3" s="50"/>
      <c r="E3" s="48"/>
      <c r="F3" s="48"/>
      <c r="G3" s="48"/>
      <c r="H3" s="48"/>
    </row>
    <row r="4" spans="1:8" x14ac:dyDescent="0.25">
      <c r="A4" s="51"/>
      <c r="B4" s="47" t="s">
        <v>68</v>
      </c>
      <c r="C4" s="47" t="s">
        <v>69</v>
      </c>
      <c r="D4" s="47"/>
      <c r="E4" s="48"/>
      <c r="F4" s="48"/>
      <c r="G4" s="52"/>
      <c r="H4" s="48"/>
    </row>
    <row r="5" spans="1:8" x14ac:dyDescent="0.25">
      <c r="A5" s="51"/>
      <c r="B5" s="47" t="s">
        <v>70</v>
      </c>
      <c r="C5" s="50" t="str">
        <f>VLOOKUP(TRUE,Settings!D54:E56,2,FALSE)</f>
        <v>BW</v>
      </c>
      <c r="D5" s="50"/>
      <c r="E5" s="48"/>
      <c r="F5" s="48"/>
      <c r="G5" s="53"/>
      <c r="H5" s="54"/>
    </row>
    <row r="6" spans="1:8" x14ac:dyDescent="0.25">
      <c r="A6" s="51"/>
      <c r="B6" s="47" t="s">
        <v>304</v>
      </c>
      <c r="C6" s="50">
        <f>Eingabe!D27</f>
        <v>1</v>
      </c>
      <c r="D6" s="50"/>
      <c r="E6" s="48"/>
      <c r="F6" s="48"/>
      <c r="G6" s="53"/>
      <c r="H6" s="54"/>
    </row>
    <row r="7" spans="1:8" x14ac:dyDescent="0.25">
      <c r="A7" s="51"/>
      <c r="B7" s="47" t="s">
        <v>305</v>
      </c>
      <c r="C7" s="50">
        <v>1872567</v>
      </c>
      <c r="D7" s="50"/>
      <c r="E7" s="48"/>
      <c r="F7" s="48"/>
      <c r="G7" s="53"/>
      <c r="H7" s="54"/>
    </row>
    <row r="8" spans="1:8" x14ac:dyDescent="0.25">
      <c r="A8" s="51"/>
      <c r="B8" s="47" t="s">
        <v>306</v>
      </c>
      <c r="C8" s="50">
        <v>1872567</v>
      </c>
      <c r="D8" s="50"/>
      <c r="E8" s="48"/>
      <c r="F8" s="48"/>
      <c r="G8" s="53"/>
      <c r="H8" s="54"/>
    </row>
    <row r="9" spans="1:8" x14ac:dyDescent="0.25">
      <c r="A9" s="45"/>
      <c r="B9" s="45"/>
      <c r="C9" s="46"/>
      <c r="D9" s="47"/>
      <c r="E9" s="48"/>
      <c r="F9" s="48"/>
      <c r="G9" s="53"/>
      <c r="H9" s="54"/>
    </row>
    <row r="10" spans="1:8" x14ac:dyDescent="0.25">
      <c r="A10" s="47" t="s">
        <v>71</v>
      </c>
      <c r="B10" s="47" t="s">
        <v>72</v>
      </c>
      <c r="C10" s="55">
        <f>Eingabe!C12</f>
        <v>0</v>
      </c>
      <c r="D10" s="55"/>
      <c r="E10" s="48"/>
      <c r="F10" s="48"/>
      <c r="G10" s="53"/>
      <c r="H10" s="54"/>
    </row>
    <row r="11" spans="1:8" x14ac:dyDescent="0.25">
      <c r="A11" s="51"/>
      <c r="B11" s="51" t="s">
        <v>73</v>
      </c>
      <c r="C11" s="47" t="str">
        <f>VLOOKUP(LEFT(C6,1),Tabelle13[#All],2,FALSE)</f>
        <v>W</v>
      </c>
      <c r="D11" s="47"/>
      <c r="E11" s="48"/>
      <c r="F11" s="48"/>
      <c r="G11" s="56"/>
      <c r="H11" s="54"/>
    </row>
    <row r="12" spans="1:8" x14ac:dyDescent="0.25">
      <c r="A12" s="51"/>
      <c r="B12" s="47" t="s">
        <v>74</v>
      </c>
      <c r="C12" s="47" t="s">
        <v>75</v>
      </c>
      <c r="D12" s="47"/>
      <c r="E12" s="48"/>
      <c r="F12" s="48"/>
      <c r="G12" s="56"/>
      <c r="H12" s="54"/>
    </row>
    <row r="13" spans="1:8" x14ac:dyDescent="0.25">
      <c r="A13" s="51"/>
      <c r="B13" s="47" t="s">
        <v>76</v>
      </c>
      <c r="C13" s="47" t="str">
        <f>C6&amp;"   J"</f>
        <v>1   J</v>
      </c>
      <c r="D13" s="47"/>
      <c r="E13" s="48"/>
      <c r="F13" s="48"/>
      <c r="G13" s="53"/>
      <c r="H13" s="54"/>
    </row>
    <row r="14" spans="1:8" x14ac:dyDescent="0.25">
      <c r="A14" s="51"/>
      <c r="B14" s="47" t="s">
        <v>77</v>
      </c>
      <c r="C14" s="47" t="str">
        <f>C6&amp;"   .       .          Makler"</f>
        <v>1   .       .          Makler</v>
      </c>
      <c r="D14" s="47"/>
      <c r="E14" s="48"/>
      <c r="F14" s="48"/>
      <c r="G14" s="53"/>
      <c r="H14" s="54"/>
    </row>
    <row r="15" spans="1:8" x14ac:dyDescent="0.25">
      <c r="A15" s="51"/>
      <c r="B15" s="47" t="s">
        <v>78</v>
      </c>
      <c r="C15" s="47" t="str">
        <f>VLOOKUP(1,Settings!E9:F10,2,FALSE)</f>
        <v>ZI</v>
      </c>
      <c r="D15" s="47"/>
      <c r="E15" s="48"/>
      <c r="F15" s="48"/>
      <c r="G15" s="53"/>
      <c r="H15" s="54"/>
    </row>
    <row r="16" spans="1:8" x14ac:dyDescent="0.25">
      <c r="A16" s="51"/>
      <c r="B16" s="47" t="s">
        <v>1</v>
      </c>
      <c r="C16" s="50">
        <v>0</v>
      </c>
      <c r="D16" s="50"/>
      <c r="E16" s="48"/>
      <c r="F16" s="48"/>
      <c r="G16" s="53"/>
      <c r="H16" s="54"/>
    </row>
    <row r="17" spans="1:8" x14ac:dyDescent="0.25">
      <c r="A17" s="51"/>
      <c r="B17" s="47" t="s">
        <v>79</v>
      </c>
      <c r="C17" s="50">
        <f>Eingabe!D30</f>
        <v>0</v>
      </c>
      <c r="D17" s="50"/>
      <c r="E17" s="48"/>
      <c r="F17" s="48"/>
      <c r="G17" s="53"/>
      <c r="H17" s="54"/>
    </row>
    <row r="18" spans="1:8" x14ac:dyDescent="0.25">
      <c r="A18" s="51"/>
      <c r="B18" s="47" t="s">
        <v>80</v>
      </c>
      <c r="C18" s="47" t="s">
        <v>69</v>
      </c>
      <c r="D18" s="47"/>
      <c r="E18" s="48"/>
      <c r="F18" s="48"/>
      <c r="G18" s="53"/>
      <c r="H18" s="54"/>
    </row>
    <row r="19" spans="1:8" x14ac:dyDescent="0.25">
      <c r="A19" s="51"/>
      <c r="B19" s="47" t="s">
        <v>81</v>
      </c>
      <c r="C19" s="47" t="s">
        <v>171</v>
      </c>
      <c r="D19" s="47"/>
      <c r="E19" s="48"/>
      <c r="F19" s="48"/>
      <c r="G19" s="53"/>
      <c r="H19" s="54"/>
    </row>
    <row r="20" spans="1:8" x14ac:dyDescent="0.25">
      <c r="A20" s="51"/>
      <c r="B20" s="47" t="s">
        <v>82</v>
      </c>
      <c r="C20" s="55">
        <f>C10</f>
        <v>0</v>
      </c>
      <c r="D20" s="55"/>
      <c r="E20" s="48"/>
      <c r="F20" s="48"/>
      <c r="G20" s="53"/>
      <c r="H20" s="54"/>
    </row>
    <row r="21" spans="1:8" x14ac:dyDescent="0.25">
      <c r="A21" s="51"/>
      <c r="B21" s="47" t="s">
        <v>83</v>
      </c>
      <c r="C21" s="47">
        <v>5190</v>
      </c>
      <c r="D21" s="47"/>
      <c r="E21" s="48"/>
      <c r="F21" s="48"/>
      <c r="G21" s="56"/>
      <c r="H21" s="54"/>
    </row>
    <row r="22" spans="1:8" x14ac:dyDescent="0.25">
      <c r="A22" s="51"/>
      <c r="B22" s="47" t="s">
        <v>84</v>
      </c>
      <c r="C22" s="55">
        <f ca="1">MIN(C20,TODAY())</f>
        <v>0</v>
      </c>
      <c r="D22" s="55"/>
      <c r="E22" s="48"/>
      <c r="F22" s="48"/>
      <c r="G22" s="56"/>
      <c r="H22" s="54"/>
    </row>
    <row r="23" spans="1:8" x14ac:dyDescent="0.25">
      <c r="A23" s="51"/>
      <c r="B23" s="47"/>
      <c r="C23" s="47"/>
      <c r="D23" s="47"/>
      <c r="E23" s="48"/>
      <c r="F23" s="48"/>
      <c r="G23" s="53"/>
      <c r="H23" s="54"/>
    </row>
    <row r="24" spans="1:8" ht="13.8" hidden="1" x14ac:dyDescent="0.25">
      <c r="A24" s="57" t="s">
        <v>85</v>
      </c>
      <c r="B24" s="58" t="str">
        <f>IF(Settings!C54=FALSE,"nicht beantragt",IF(Settings!D56=FALSE,"","Einschränkung auf Sparte:    07"))</f>
        <v>nicht beantragt</v>
      </c>
      <c r="C24" s="59"/>
      <c r="D24" s="60"/>
      <c r="F24" s="48"/>
      <c r="G24" s="53"/>
      <c r="H24" s="54"/>
    </row>
    <row r="25" spans="1:8" hidden="1" x14ac:dyDescent="0.25">
      <c r="A25" s="51"/>
      <c r="B25" s="47" t="s">
        <v>86</v>
      </c>
      <c r="C25" s="55">
        <f>Eingabe!F12</f>
        <v>0</v>
      </c>
      <c r="D25" s="55"/>
      <c r="F25" s="48"/>
      <c r="G25" s="53"/>
      <c r="H25" s="54"/>
    </row>
    <row r="26" spans="1:8" hidden="1" x14ac:dyDescent="0.25">
      <c r="A26" s="60"/>
      <c r="B26" s="60" t="s">
        <v>87</v>
      </c>
      <c r="C26" s="61" t="s">
        <v>88</v>
      </c>
      <c r="D26" s="60"/>
      <c r="F26" s="48"/>
      <c r="G26" s="53"/>
      <c r="H26" s="54"/>
    </row>
    <row r="27" spans="1:8" hidden="1" x14ac:dyDescent="0.25">
      <c r="A27" s="51"/>
      <c r="B27" s="47" t="s">
        <v>89</v>
      </c>
      <c r="C27" s="62" t="s">
        <v>90</v>
      </c>
      <c r="D27" s="62"/>
      <c r="F27" s="48"/>
      <c r="G27" s="53"/>
      <c r="H27" s="54"/>
    </row>
    <row r="28" spans="1:8" hidden="1" x14ac:dyDescent="0.25">
      <c r="A28" s="51"/>
      <c r="B28" s="47" t="s">
        <v>93</v>
      </c>
      <c r="C28" s="47" t="str">
        <f>Eingabe!D20&amp;", "&amp;Eingabe!D21&amp;" "&amp;Eingabe!D22</f>
        <v xml:space="preserve">,  </v>
      </c>
      <c r="D28" s="47"/>
      <c r="F28" s="48"/>
      <c r="G28" s="53"/>
      <c r="H28" s="54"/>
    </row>
    <row r="29" spans="1:8" hidden="1" x14ac:dyDescent="0.25">
      <c r="A29" s="51"/>
      <c r="B29" s="47" t="s">
        <v>96</v>
      </c>
      <c r="C29" s="47" t="s">
        <v>97</v>
      </c>
      <c r="D29" s="47"/>
      <c r="F29" s="48"/>
      <c r="G29" s="53"/>
      <c r="H29" s="54"/>
    </row>
    <row r="30" spans="1:8" hidden="1" x14ac:dyDescent="0.25">
      <c r="A30" s="51"/>
      <c r="B30" s="47" t="s">
        <v>99</v>
      </c>
      <c r="C30" s="66" t="e">
        <f>#REF!</f>
        <v>#REF!</v>
      </c>
      <c r="D30" s="66"/>
      <c r="F30" s="48"/>
      <c r="G30" s="53"/>
      <c r="H30" s="54"/>
    </row>
    <row r="31" spans="1:8" hidden="1" x14ac:dyDescent="0.25">
      <c r="A31" s="60"/>
      <c r="B31" s="60" t="s">
        <v>102</v>
      </c>
      <c r="C31" s="67" t="e">
        <f>C32&amp;"!"</f>
        <v>#REF!</v>
      </c>
      <c r="D31" s="60"/>
      <c r="F31" s="48"/>
      <c r="G31" s="53"/>
      <c r="H31" s="54"/>
    </row>
    <row r="32" spans="1:8" hidden="1" x14ac:dyDescent="0.25">
      <c r="A32" s="51"/>
      <c r="B32" s="47" t="s">
        <v>105</v>
      </c>
      <c r="C32" s="68" t="e">
        <f>#REF!</f>
        <v>#REF!</v>
      </c>
      <c r="D32" s="68"/>
      <c r="F32" s="48"/>
      <c r="G32" s="53"/>
      <c r="H32" s="54"/>
    </row>
    <row r="33" spans="1:8" hidden="1" x14ac:dyDescent="0.25">
      <c r="A33" s="51"/>
      <c r="B33" s="47" t="s">
        <v>108</v>
      </c>
      <c r="C33" s="70" t="s">
        <v>168</v>
      </c>
      <c r="D33" s="69"/>
      <c r="F33" s="48"/>
      <c r="G33" s="53"/>
      <c r="H33" s="54"/>
    </row>
    <row r="34" spans="1:8" hidden="1" x14ac:dyDescent="0.25">
      <c r="A34" s="51"/>
      <c r="B34" s="47" t="s">
        <v>110</v>
      </c>
      <c r="C34" s="70">
        <v>230</v>
      </c>
      <c r="D34" s="70"/>
      <c r="F34" s="48"/>
      <c r="G34" s="53"/>
      <c r="H34" s="54"/>
    </row>
    <row r="35" spans="1:8" hidden="1" x14ac:dyDescent="0.25">
      <c r="A35" s="51"/>
      <c r="B35" s="47" t="s">
        <v>113</v>
      </c>
      <c r="C35" s="70">
        <v>931</v>
      </c>
      <c r="D35" s="70"/>
      <c r="F35" s="48"/>
      <c r="G35" s="53"/>
      <c r="H35" s="54"/>
    </row>
    <row r="36" spans="1:8" hidden="1" x14ac:dyDescent="0.25">
      <c r="A36" s="51"/>
      <c r="B36" s="47"/>
      <c r="C36" s="47"/>
      <c r="D36" s="47"/>
      <c r="F36" s="48"/>
      <c r="G36" s="53"/>
      <c r="H36" s="54"/>
    </row>
    <row r="37" spans="1:8" ht="13.8" x14ac:dyDescent="0.25">
      <c r="A37" s="57" t="s">
        <v>118</v>
      </c>
      <c r="B37" s="58" t="str">
        <f>IF(Settings!C55=FALSE,"nicht beantragt",IF(Settings!D56=FALSE,"","Einschränkung auf Sparte:    19"))</f>
        <v/>
      </c>
      <c r="C37" s="59"/>
      <c r="D37" s="60"/>
      <c r="F37" s="48"/>
      <c r="G37" s="53"/>
      <c r="H37" s="54"/>
    </row>
    <row r="38" spans="1:8" x14ac:dyDescent="0.25">
      <c r="A38" s="51"/>
      <c r="B38" s="47" t="s">
        <v>86</v>
      </c>
      <c r="C38" s="55">
        <f>Eingabe!F12</f>
        <v>0</v>
      </c>
      <c r="D38" s="55"/>
      <c r="E38" s="48"/>
      <c r="F38" s="48"/>
      <c r="G38" s="53"/>
      <c r="H38" s="54"/>
    </row>
    <row r="39" spans="1:8" x14ac:dyDescent="0.25">
      <c r="A39" s="51"/>
      <c r="B39" s="47" t="s">
        <v>89</v>
      </c>
      <c r="C39" s="62" t="s">
        <v>90</v>
      </c>
      <c r="D39" s="62"/>
      <c r="E39" s="48"/>
      <c r="F39" s="48"/>
      <c r="G39" s="53"/>
      <c r="H39" s="72"/>
    </row>
    <row r="40" spans="1:8" x14ac:dyDescent="0.25">
      <c r="A40" s="51"/>
      <c r="B40" s="47" t="s">
        <v>93</v>
      </c>
      <c r="C40" s="47" t="str">
        <f>Eingabe!D20&amp;", "&amp;Eingabe!D21&amp;" "&amp;Eingabe!D22</f>
        <v xml:space="preserve">,  </v>
      </c>
      <c r="D40" s="47"/>
      <c r="E40" s="48"/>
      <c r="F40" s="48"/>
      <c r="G40" s="53"/>
      <c r="H40" s="54"/>
    </row>
    <row r="41" spans="1:8" x14ac:dyDescent="0.25">
      <c r="A41" s="51"/>
      <c r="B41" s="47" t="s">
        <v>96</v>
      </c>
      <c r="C41" s="47" t="str">
        <f>LEFT(Eingabe!B15,40)</f>
        <v/>
      </c>
      <c r="D41" s="47"/>
      <c r="E41" s="48"/>
      <c r="F41" s="48"/>
      <c r="G41" s="53"/>
      <c r="H41" s="54"/>
    </row>
    <row r="42" spans="1:8" x14ac:dyDescent="0.25">
      <c r="A42" s="51"/>
      <c r="B42" s="47" t="s">
        <v>119</v>
      </c>
      <c r="C42" s="66">
        <f>'Berechnung BW'!D31</f>
        <v>0</v>
      </c>
      <c r="D42" s="66"/>
      <c r="E42" s="48"/>
      <c r="F42" s="48"/>
      <c r="G42" s="53"/>
      <c r="H42" s="54"/>
    </row>
    <row r="43" spans="1:8" x14ac:dyDescent="0.25">
      <c r="A43" s="51"/>
      <c r="B43" s="47" t="s">
        <v>105</v>
      </c>
      <c r="C43" s="68">
        <f>'Berechnung BW'!F31</f>
        <v>600</v>
      </c>
      <c r="D43" s="68"/>
      <c r="E43" s="48"/>
      <c r="F43" s="48"/>
      <c r="G43" s="53"/>
    </row>
    <row r="44" spans="1:8" x14ac:dyDescent="0.25">
      <c r="A44" s="51"/>
      <c r="B44" s="47" t="s">
        <v>108</v>
      </c>
      <c r="C44" s="69" t="str">
        <f>"6711"&amp;" "&amp;"8699"&amp;" "&amp;"8901"&amp;" "&amp;"8896"&amp;" "&amp;"8897"</f>
        <v>6711 8699 8901 8896 8897</v>
      </c>
      <c r="D44" s="69"/>
      <c r="E44" s="48"/>
      <c r="F44" s="48"/>
      <c r="G44" s="53"/>
    </row>
    <row r="45" spans="1:8" x14ac:dyDescent="0.25">
      <c r="A45" s="51"/>
      <c r="B45" s="47" t="s">
        <v>110</v>
      </c>
      <c r="C45" s="70">
        <v>230</v>
      </c>
      <c r="D45" s="70"/>
      <c r="E45" s="48"/>
      <c r="F45" s="48"/>
      <c r="G45" s="53"/>
    </row>
    <row r="46" spans="1:8" x14ac:dyDescent="0.25">
      <c r="A46" s="51"/>
      <c r="B46" s="47" t="s">
        <v>113</v>
      </c>
      <c r="C46" s="70">
        <v>911</v>
      </c>
      <c r="D46" s="70"/>
      <c r="E46" s="48"/>
      <c r="F46" s="48"/>
      <c r="G46" s="53"/>
      <c r="H46" s="54"/>
    </row>
    <row r="47" spans="1:8" x14ac:dyDescent="0.25">
      <c r="A47" s="51"/>
      <c r="B47" s="47"/>
      <c r="C47" s="47"/>
      <c r="D47" s="47"/>
      <c r="E47" s="48"/>
      <c r="F47" s="48"/>
      <c r="G47" s="53"/>
      <c r="H47" s="54"/>
    </row>
    <row r="48" spans="1:8" x14ac:dyDescent="0.25">
      <c r="A48" s="59" t="s">
        <v>120</v>
      </c>
      <c r="B48" s="59"/>
      <c r="C48" s="59"/>
      <c r="D48" s="60"/>
      <c r="F48" s="48"/>
      <c r="G48" s="53"/>
      <c r="H48" s="54"/>
    </row>
    <row r="49" spans="1:8" x14ac:dyDescent="0.25">
      <c r="A49" s="60" t="s">
        <v>121</v>
      </c>
      <c r="B49" s="60"/>
      <c r="C49" s="60"/>
      <c r="D49" s="60"/>
      <c r="F49" s="48"/>
      <c r="G49" s="53"/>
      <c r="H49" s="54"/>
    </row>
    <row r="50" spans="1:8" x14ac:dyDescent="0.25">
      <c r="A50" s="60"/>
      <c r="B50" s="60"/>
      <c r="C50" s="74"/>
      <c r="D50" s="75"/>
      <c r="F50" s="48"/>
      <c r="G50" s="53"/>
      <c r="H50" s="54"/>
    </row>
    <row r="51" spans="1:8" x14ac:dyDescent="0.25">
      <c r="A51" s="60"/>
      <c r="B51" s="60"/>
      <c r="C51" s="77" t="str">
        <f>Settings!H19</f>
        <v xml:space="preserve"> &gt;&gt;XBWWKOX</v>
      </c>
      <c r="D51" s="75"/>
      <c r="F51" s="48"/>
      <c r="G51" s="53"/>
      <c r="H51" s="54"/>
    </row>
    <row r="52" spans="1:8" x14ac:dyDescent="0.25">
      <c r="A52" s="60"/>
      <c r="B52" s="60"/>
      <c r="C52" s="76" t="str">
        <f>IF(Settings!C55,IF(Settings!E30&gt;0," &gt;&gt;XBWWKOÄBW",""),"")</f>
        <v/>
      </c>
      <c r="D52" s="75"/>
      <c r="F52" s="48"/>
      <c r="G52" s="53"/>
      <c r="H52" s="54"/>
    </row>
    <row r="53" spans="1:8" x14ac:dyDescent="0.25">
      <c r="A53" s="60"/>
      <c r="B53" s="60"/>
      <c r="C53" s="76" t="str">
        <f>IF(Settings!C55,IF(Settings!E31&gt;0," &gt;&gt;XBWWKOOPT",""),"")</f>
        <v/>
      </c>
      <c r="D53" s="75"/>
      <c r="F53" s="48"/>
      <c r="G53" s="53"/>
      <c r="H53" s="54"/>
    </row>
    <row r="54" spans="1:8" x14ac:dyDescent="0.25">
      <c r="A54" s="60"/>
      <c r="B54" s="60"/>
      <c r="C54" s="78"/>
      <c r="D54" s="75"/>
      <c r="E54" s="49" t="s">
        <v>125</v>
      </c>
      <c r="F54" s="48"/>
      <c r="G54" s="53"/>
      <c r="H54" s="54"/>
    </row>
    <row r="55" spans="1:8" x14ac:dyDescent="0.25">
      <c r="A55" s="79" t="s">
        <v>126</v>
      </c>
      <c r="B55" s="80" t="s">
        <v>127</v>
      </c>
      <c r="C55" s="81" t="str">
        <f>LEFT(Eingabe!B15,70)</f>
        <v/>
      </c>
      <c r="D55" s="81"/>
      <c r="E55" s="48"/>
      <c r="F55" s="48"/>
      <c r="G55" s="53"/>
      <c r="H55" s="54"/>
    </row>
    <row r="56" spans="1:8" x14ac:dyDescent="0.25">
      <c r="A56" s="82" t="str">
        <f>IF(Settings!C55=TRUE,"","werden nicht benötigt")</f>
        <v/>
      </c>
      <c r="B56" s="80" t="s">
        <v>158</v>
      </c>
      <c r="C56" s="81" t="str">
        <f>IF(C55=Eingabe!B15,"",RIGHT(Eingabe!B15,LEN(Eingabe!B15)-70))</f>
        <v/>
      </c>
      <c r="D56" s="81"/>
      <c r="E56" s="72"/>
      <c r="F56" s="48"/>
      <c r="G56" s="53"/>
      <c r="H56" s="54"/>
    </row>
    <row r="57" spans="1:8" x14ac:dyDescent="0.25">
      <c r="A57" s="82" t="str">
        <f>IF(Settings!C55=TRUE,"","weiter mit Haftpflicht")</f>
        <v/>
      </c>
      <c r="B57" s="81" t="s">
        <v>128</v>
      </c>
      <c r="C57" s="83">
        <f>'Berechnung BW'!D19+'Berechnung BW'!D23</f>
        <v>0</v>
      </c>
      <c r="D57" s="83"/>
      <c r="E57" s="48"/>
      <c r="F57" s="48"/>
      <c r="G57" s="53"/>
      <c r="H57" s="54"/>
    </row>
    <row r="58" spans="1:8" x14ac:dyDescent="0.25">
      <c r="A58" s="82"/>
      <c r="B58" s="81" t="s">
        <v>159</v>
      </c>
      <c r="C58" s="83" t="str">
        <f>IF(Settings!E26=0,"Baustein löschen","Baustein belassen jedoch XXX10 auf beiden Seiten löschen")</f>
        <v>Baustein löschen</v>
      </c>
      <c r="D58" s="83"/>
      <c r="E58" s="48"/>
      <c r="F58" s="48"/>
      <c r="G58" s="53"/>
      <c r="H58" s="54"/>
    </row>
    <row r="59" spans="1:8" x14ac:dyDescent="0.25">
      <c r="A59" s="80"/>
      <c r="B59" s="81" t="s">
        <v>129</v>
      </c>
      <c r="C59" s="83">
        <f>'Berechnung BW'!D20</f>
        <v>0</v>
      </c>
      <c r="D59" s="83"/>
      <c r="E59" s="48"/>
      <c r="F59" s="48"/>
      <c r="G59" s="53"/>
      <c r="H59" s="54"/>
    </row>
    <row r="60" spans="1:8" x14ac:dyDescent="0.25">
      <c r="A60" s="80"/>
      <c r="B60" s="81" t="s">
        <v>160</v>
      </c>
      <c r="C60" s="83">
        <f>'Berechnung BW'!D30-30000</f>
        <v>-30000</v>
      </c>
      <c r="D60" s="83"/>
      <c r="E60" s="48"/>
      <c r="F60" s="48"/>
      <c r="G60" s="53"/>
      <c r="H60" s="54"/>
    </row>
    <row r="61" spans="1:8" x14ac:dyDescent="0.25">
      <c r="A61" s="80"/>
      <c r="B61" s="81" t="s">
        <v>161</v>
      </c>
      <c r="C61" s="83" t="str">
        <f>IF(Settings!E27=0,"Baustein nicht vorhanden",'Berechnung BW'!D24)</f>
        <v>Baustein nicht vorhanden</v>
      </c>
      <c r="D61" s="83"/>
      <c r="E61" s="48"/>
      <c r="F61" s="48"/>
      <c r="G61" s="53"/>
      <c r="H61" s="54"/>
    </row>
    <row r="62" spans="1:8" x14ac:dyDescent="0.25">
      <c r="A62" s="80"/>
      <c r="B62" s="81" t="s">
        <v>162</v>
      </c>
      <c r="C62" s="83" t="str">
        <f>IF(Settings!E29=0,"Baustein nicht vorhanden",'Berechnung BW'!D26)</f>
        <v>Baustein nicht vorhanden</v>
      </c>
      <c r="D62" s="83"/>
      <c r="E62" s="48"/>
      <c r="F62" s="48"/>
      <c r="G62" s="53"/>
      <c r="H62" s="54"/>
    </row>
    <row r="63" spans="1:8" x14ac:dyDescent="0.25">
      <c r="A63" s="80"/>
      <c r="B63" s="81" t="s">
        <v>163</v>
      </c>
      <c r="C63" s="83" t="str">
        <f>IF(Settings!E30=0,"Baustein löschen","Mehrkosten durch Änderung der Bauweise gemäß BB EUR "&amp;TEXT('Berechnung BW'!D28,"#.##0,00"))</f>
        <v>Baustein löschen</v>
      </c>
      <c r="D63" s="83"/>
      <c r="E63" s="48"/>
      <c r="F63" s="48"/>
      <c r="G63" s="53"/>
      <c r="H63" s="54"/>
    </row>
    <row r="64" spans="1:8" x14ac:dyDescent="0.25">
      <c r="A64" s="80"/>
      <c r="B64" s="80" t="s">
        <v>130</v>
      </c>
      <c r="C64" s="83">
        <f>'Berechnung BW'!D31</f>
        <v>0</v>
      </c>
      <c r="D64" s="83"/>
      <c r="E64" s="72"/>
      <c r="F64" s="48"/>
      <c r="G64" s="53"/>
    </row>
    <row r="65" spans="1:5" x14ac:dyDescent="0.25">
      <c r="A65" s="80"/>
      <c r="B65" s="81"/>
      <c r="C65" s="83"/>
      <c r="D65" s="83"/>
      <c r="E65" s="48"/>
    </row>
    <row r="66" spans="1:5" x14ac:dyDescent="0.25">
      <c r="A66" s="80"/>
      <c r="B66" s="80" t="s">
        <v>131</v>
      </c>
      <c r="C66" s="86">
        <f>'Berechnung BW'!F31</f>
        <v>600</v>
      </c>
      <c r="D66" s="84"/>
      <c r="E66" s="48"/>
    </row>
    <row r="67" spans="1:5" x14ac:dyDescent="0.25">
      <c r="A67" s="80"/>
      <c r="B67" s="80"/>
      <c r="C67" s="95"/>
      <c r="D67" s="84"/>
      <c r="E67" s="48"/>
    </row>
    <row r="68" spans="1:5" x14ac:dyDescent="0.25">
      <c r="A68" s="80"/>
      <c r="B68" s="80" t="s">
        <v>132</v>
      </c>
      <c r="C68" s="85">
        <f>'Berechnung BW'!F33</f>
        <v>666</v>
      </c>
      <c r="D68" s="84"/>
      <c r="E68" s="96" t="s">
        <v>165</v>
      </c>
    </row>
    <row r="69" spans="1:5" x14ac:dyDescent="0.25">
      <c r="A69" s="80"/>
      <c r="B69" s="80"/>
      <c r="C69" s="84"/>
      <c r="D69" s="84"/>
      <c r="E69" s="72"/>
    </row>
    <row r="70" spans="1:5" x14ac:dyDescent="0.25">
      <c r="A70" s="80"/>
      <c r="B70" s="81" t="s">
        <v>164</v>
      </c>
      <c r="C70" s="84" t="str">
        <f>IF(Settings!E26=0,"Baustein löschen","Baustein belassen jedoch XXX14 auf beiden Seiten löschen")</f>
        <v>Baustein löschen</v>
      </c>
      <c r="D70" s="84"/>
      <c r="E70" s="72"/>
    </row>
    <row r="71" spans="1:5" x14ac:dyDescent="0.25">
      <c r="A71" s="80"/>
      <c r="B71" s="81"/>
      <c r="C71" s="81"/>
      <c r="D71" s="81"/>
      <c r="E71" s="72"/>
    </row>
    <row r="72" spans="1:5" x14ac:dyDescent="0.25">
      <c r="A72" s="57"/>
      <c r="B72" s="87"/>
      <c r="C72" s="87"/>
      <c r="D72" s="81"/>
      <c r="E72" s="72"/>
    </row>
    <row r="73" spans="1:5" hidden="1" x14ac:dyDescent="0.25">
      <c r="A73" s="79" t="s">
        <v>133</v>
      </c>
      <c r="B73" s="60" t="s">
        <v>169</v>
      </c>
      <c r="C73" s="81" t="str">
        <f>LEFT(Eingabe!D17,67)</f>
        <v>Neubau &amp; grüne Wiese / freistehend</v>
      </c>
      <c r="D73" s="81"/>
      <c r="E73" s="72"/>
    </row>
    <row r="74" spans="1:5" hidden="1" x14ac:dyDescent="0.25">
      <c r="A74" s="79"/>
      <c r="B74" s="60" t="s">
        <v>170</v>
      </c>
      <c r="C74" s="81" t="str">
        <f>IF(C73=Eingabe!D17,"",RIGHT(Eingabe!D17,LEN(Eingabe!D17)-67))</f>
        <v/>
      </c>
      <c r="D74" s="81"/>
      <c r="E74" s="72"/>
    </row>
    <row r="75" spans="1:5" hidden="1" x14ac:dyDescent="0.25">
      <c r="A75" s="111" t="str">
        <f>IF(Settings!C54=TRUE,"","werden nicht benötigt")</f>
        <v>werden nicht benötigt</v>
      </c>
      <c r="B75" s="80" t="s">
        <v>167</v>
      </c>
      <c r="C75" s="81" t="str">
        <f>C28</f>
        <v xml:space="preserve">,  </v>
      </c>
      <c r="D75" s="81"/>
      <c r="E75" s="72"/>
    </row>
    <row r="76" spans="1:5" hidden="1" x14ac:dyDescent="0.25">
      <c r="A76" s="82"/>
      <c r="B76" s="81" t="s">
        <v>134</v>
      </c>
      <c r="C76" s="83" t="e">
        <f>#REF!</f>
        <v>#REF!</v>
      </c>
      <c r="D76" s="81"/>
      <c r="E76" s="72"/>
    </row>
    <row r="77" spans="1:5" hidden="1" x14ac:dyDescent="0.25">
      <c r="A77" s="45"/>
      <c r="B77" s="46"/>
      <c r="C77" s="46"/>
      <c r="D77" s="47"/>
      <c r="E77" s="63" t="s">
        <v>135</v>
      </c>
    </row>
    <row r="78" spans="1:5" ht="26.4" x14ac:dyDescent="0.25">
      <c r="A78" s="88" t="s">
        <v>136</v>
      </c>
      <c r="B78" s="47" t="s">
        <v>137</v>
      </c>
      <c r="C78" s="81" t="str">
        <f>IF(Settings!C55=TRUE,"ERST.. PRT   ..... "&amp;TEXT(C10,"JJJJMMTT")&amp;" - "&amp;TEXT(C38,"JJJJMMTT")&amp;" N "&amp;TEXT(C43,"000000000,00")&amp;" .. 19 ..  LS","")</f>
        <v>ERST.. PRT   ..... 19000100 - 19000100 N 000000600,00 .. 19 ..  LS</v>
      </c>
      <c r="D78" s="81"/>
    </row>
    <row r="79" spans="1:5" x14ac:dyDescent="0.25">
      <c r="A79" s="88"/>
      <c r="B79" s="47"/>
      <c r="C79" s="81" t="str">
        <f>IF(Settings!C54=TRUE,"ERST.. PRT   ..... "&amp;TEXT(C10,"JJJJMMTT")&amp;" - "&amp;TEXT(C38,"JJJJMMTT")&amp;" N "&amp;TEXT(C32,"000000000,00")&amp;" .. 07 ..  LS","")</f>
        <v/>
      </c>
      <c r="D79" s="81"/>
    </row>
    <row r="80" spans="1:5" x14ac:dyDescent="0.25">
      <c r="A80" s="45"/>
      <c r="B80" s="45"/>
      <c r="C80" s="46"/>
      <c r="D80" s="47"/>
      <c r="E80" s="48"/>
    </row>
    <row r="81" spans="1:5" x14ac:dyDescent="0.25">
      <c r="A81" s="47" t="str">
        <f>IF(Settings!C55=TRUE,"PA32 (nicht vergessen, nur bei Sparte 19)!","")</f>
        <v>PA32 (nicht vergessen, nur bei Sparte 19)!</v>
      </c>
      <c r="B81" s="60"/>
      <c r="C81" s="60"/>
      <c r="D81" s="60"/>
      <c r="E81" s="48"/>
    </row>
    <row r="82" spans="1:5" x14ac:dyDescent="0.25">
      <c r="A82" s="60"/>
      <c r="B82" s="47" t="str">
        <f>IF(Settings!C55=TRUE,"Fixprovisionsdaten &gt;&gt;:","")</f>
        <v>Fixprovisionsdaten &gt;&gt;:</v>
      </c>
      <c r="C82" s="47" t="str">
        <f>IF(Settings!C55=TRUE,C6&amp;"         .10,00      10,00","")</f>
        <v>1         .10,00      10,00</v>
      </c>
      <c r="D82" s="47"/>
    </row>
    <row r="83" spans="1:5" x14ac:dyDescent="0.25">
      <c r="A83" s="60"/>
      <c r="B83" s="47"/>
      <c r="C83" s="47" t="str">
        <f>IF(Settings!C55=TRUE,C7&amp;"         .05,00      .5,00","")</f>
        <v>1872567         .05,00      .5,00</v>
      </c>
      <c r="D83" s="47"/>
    </row>
  </sheetData>
  <conditionalFormatting sqref="C2">
    <cfRule type="cellIs" dxfId="13" priority="25" operator="equal">
      <formula>0</formula>
    </cfRule>
  </conditionalFormatting>
  <conditionalFormatting sqref="C3">
    <cfRule type="cellIs" dxfId="12" priority="14" operator="equal">
      <formula>", "</formula>
    </cfRule>
  </conditionalFormatting>
  <conditionalFormatting sqref="C6:C8">
    <cfRule type="cellIs" dxfId="11" priority="23" operator="equal">
      <formula>0</formula>
    </cfRule>
  </conditionalFormatting>
  <conditionalFormatting sqref="C10">
    <cfRule type="cellIs" dxfId="10" priority="22" operator="lessThan">
      <formula>43900</formula>
    </cfRule>
  </conditionalFormatting>
  <conditionalFormatting sqref="C17">
    <cfRule type="expression" dxfId="9" priority="2">
      <formula>AND($C$15="BI",$C$17=0)</formula>
    </cfRule>
  </conditionalFormatting>
  <conditionalFormatting sqref="C25">
    <cfRule type="cellIs" dxfId="8" priority="4" operator="lessThan">
      <formula>43900</formula>
    </cfRule>
  </conditionalFormatting>
  <conditionalFormatting sqref="C28">
    <cfRule type="cellIs" dxfId="7" priority="13" operator="equal">
      <formula>",  "</formula>
    </cfRule>
    <cfRule type="cellIs" dxfId="6" priority="19" operator="equal">
      <formula>0</formula>
    </cfRule>
  </conditionalFormatting>
  <conditionalFormatting sqref="C38">
    <cfRule type="cellIs" dxfId="5" priority="3" operator="lessThan">
      <formula>43900</formula>
    </cfRule>
  </conditionalFormatting>
  <conditionalFormatting sqref="C40">
    <cfRule type="cellIs" dxfId="4" priority="11" operator="equal">
      <formula>",  "</formula>
    </cfRule>
    <cfRule type="cellIs" dxfId="3" priority="12" operator="equal">
      <formula>0</formula>
    </cfRule>
  </conditionalFormatting>
  <conditionalFormatting sqref="C42">
    <cfRule type="cellIs" dxfId="1" priority="1" operator="lessThan">
      <formula>30010</formula>
    </cfRule>
  </conditionalFormatting>
  <conditionalFormatting sqref="C55:D76">
    <cfRule type="containsText" dxfId="0" priority="26" operator="containsText" text="löschen">
      <formula>NOT(ISERROR(SEARCH("löschen",C55)))</formula>
    </cfRule>
  </conditionalFormatting>
  <pageMargins left="0.7" right="0.7" top="0.78740157499999996" bottom="0.78740157499999996" header="0.3" footer="0.3"/>
  <pageSetup paperSize="9" scale="65" orientation="portrait" r:id="rId1"/>
  <headerFooter>
    <oddFooter>&amp;L&amp;1#&amp;"Calibri"&amp;10&amp;K000000INTERNAL USE ONLY</oddFooter>
  </headerFooter>
  <colBreaks count="1" manualBreakCount="1">
    <brk id="4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702084B3-5821-444B-AC7E-8FF8E01CF76E}">
            <xm:f>ISBLANK(Eingabe!$B$15)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C41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UV Rechner ohne Fehler" edit="true"/>
    <f:field ref="objsubject" par="" text="" edit="true"/>
    <f:field ref="objcreatedby" par="" text="GÄNSER, Isabell HZ-VD800"/>
    <f:field ref="objcreatedat" par="" date="2018-02-15T16:07:34" text="15.02.2018 16:07:34"/>
    <f:field ref="objchangedby" par="" text="TSCHERNE, Silke (ZN03-VD)"/>
    <f:field ref="objmodifiedat" par="" date="2018-06-19T15:48:52" text="19.06.2018 15:48:52"/>
    <f:field ref="doc_FSCFOLIO_1_1001_FieldDocumentNumber" par="" text=""/>
    <f:field ref="doc_FSCFOLIO_1_1001_FieldSubject" par="" text="" edit="true"/>
    <f:field ref="FSCFOLIO_1_1001_FieldCurrentUser" par="" text="Isabell GÄNSER"/>
  </f:record>
  <f:display par="" text="Allgemein">
    <f:field ref="objname" text="Name"/>
    <f:field ref="objsubject" text="Betreff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</vt:i4>
      </vt:variant>
    </vt:vector>
  </HeadingPairs>
  <TitlesOfParts>
    <vt:vector size="9" baseType="lpstr">
      <vt:lpstr>Eingabe</vt:lpstr>
      <vt:lpstr>Berechnung BW</vt:lpstr>
      <vt:lpstr>Angebot BW</vt:lpstr>
      <vt:lpstr>Annahmeerklärung DSGVO</vt:lpstr>
      <vt:lpstr>Settings</vt:lpstr>
      <vt:lpstr>Polizzierungsanleitung</vt:lpstr>
      <vt:lpstr>'Angebot BW'!Druckbereich</vt:lpstr>
      <vt:lpstr>'Berechnung BW'!Druckbereich</vt:lpstr>
      <vt:lpstr>Eingabe!Druckbereich</vt:lpstr>
    </vt:vector>
  </TitlesOfParts>
  <Company>SPAR-AG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 AG</dc:creator>
  <cp:lastModifiedBy>Schwetz Florian | WKO Inhouse</cp:lastModifiedBy>
  <cp:lastPrinted>2019-04-05T11:06:47Z</cp:lastPrinted>
  <dcterms:created xsi:type="dcterms:W3CDTF">2003-01-21T08:42:05Z</dcterms:created>
  <dcterms:modified xsi:type="dcterms:W3CDTF">2024-12-27T11:17:53Z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08d454-5c13-4905-93be-12ec8059c842_Enabled">
    <vt:lpwstr>true</vt:lpwstr>
  </property>
  <property fmtid="{D5CDD505-2E9C-101B-9397-08002B2CF9AE}" pid="3" name="MSIP_Label_9108d454-5c13-4905-93be-12ec8059c842_SetDate">
    <vt:lpwstr>2021-06-29T13:48:46Z</vt:lpwstr>
  </property>
  <property fmtid="{D5CDD505-2E9C-101B-9397-08002B2CF9AE}" pid="4" name="MSIP_Label_9108d454-5c13-4905-93be-12ec8059c842_Method">
    <vt:lpwstr>Privileged</vt:lpwstr>
  </property>
  <property fmtid="{D5CDD505-2E9C-101B-9397-08002B2CF9AE}" pid="5" name="MSIP_Label_9108d454-5c13-4905-93be-12ec8059c842_Name">
    <vt:lpwstr>9108d454-5c13-4905-93be-12ec8059c842</vt:lpwstr>
  </property>
  <property fmtid="{D5CDD505-2E9C-101B-9397-08002B2CF9AE}" pid="6" name="MSIP_Label_9108d454-5c13-4905-93be-12ec8059c842_SiteId">
    <vt:lpwstr>473672ba-cd07-4371-a2ae-788b4c61840e</vt:lpwstr>
  </property>
  <property fmtid="{D5CDD505-2E9C-101B-9397-08002B2CF9AE}" pid="7" name="MSIP_Label_9108d454-5c13-4905-93be-12ec8059c842_ActionId">
    <vt:lpwstr>6e222cd1-eb62-4783-9304-40e0bdf0e265</vt:lpwstr>
  </property>
  <property fmtid="{D5CDD505-2E9C-101B-9397-08002B2CF9AE}" pid="8" name="MSIP_Label_9108d454-5c13-4905-93be-12ec8059c842_ContentBits">
    <vt:lpwstr>2</vt:lpwstr>
  </property>
</Properties>
</file>